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A DISKAN\PERENCANAAN 2020\LAP. DAK 2020\Progres DAK 2020\"/>
    </mc:Choice>
  </mc:AlternateContent>
  <bookViews>
    <workbookView xWindow="-120" yWindow="-120" windowWidth="20730" windowHeight="11160" firstSheet="7" activeTab="7"/>
  </bookViews>
  <sheets>
    <sheet name="Page I - II" sheetId="1" state="hidden" r:id="rId1"/>
    <sheet name="OMSPAN" sheetId="2" state="hidden" r:id="rId2"/>
    <sheet name="Rencana OMSPAN" sheetId="3" state="hidden" r:id="rId3"/>
    <sheet name="Rencana" sheetId="5" state="hidden" r:id="rId4"/>
    <sheet name="Realisasi" sheetId="4" state="hidden" r:id="rId5"/>
    <sheet name="Realisasi 2018" sheetId="6" state="hidden" r:id="rId6"/>
    <sheet name="Simulasi 2019" sheetId="7" state="hidden" r:id="rId7"/>
    <sheet name="2020 (2)" sheetId="13" r:id="rId8"/>
  </sheets>
  <definedNames>
    <definedName name="_xlnm.Print_Area" localSheetId="7">'2020 (2)'!$A$2:$S$50</definedName>
    <definedName name="_xlnm.Print_Titles" localSheetId="7">'2020 (2)'!$6:$9</definedName>
    <definedName name="_xlnm.Print_Titles" localSheetId="1">OMSPAN!$59:$60</definedName>
    <definedName name="_xlnm.Print_Titles" localSheetId="4">Realisasi!$11:$12</definedName>
    <definedName name="_xlnm.Print_Titles" localSheetId="5">'Realisasi 2018'!$10:$11</definedName>
    <definedName name="_xlnm.Print_Titles" localSheetId="2">'Rencana OMSPAN'!$4:$5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21" i="13" l="1"/>
  <c r="I18" i="13" l="1"/>
  <c r="J18" i="13" s="1"/>
  <c r="I19" i="13" l="1"/>
  <c r="J19" i="13" s="1"/>
  <c r="I17" i="13"/>
  <c r="J17" i="13" s="1"/>
  <c r="I20" i="13" l="1"/>
  <c r="J20" i="13" s="1"/>
  <c r="Y20" i="13"/>
  <c r="I30" i="13" l="1"/>
  <c r="J30" i="13" s="1"/>
  <c r="I32" i="13" l="1"/>
  <c r="I16" i="13"/>
  <c r="J16" i="13" s="1"/>
  <c r="J21" i="13" l="1"/>
  <c r="I15" i="13"/>
  <c r="J32" i="13"/>
  <c r="I31" i="13"/>
  <c r="J31" i="13" s="1"/>
  <c r="J15" i="13" l="1"/>
  <c r="I40" i="13"/>
  <c r="F28" i="13"/>
  <c r="K13" i="13" l="1"/>
  <c r="K28" i="13"/>
  <c r="K40" i="13" l="1"/>
  <c r="Z13" i="13"/>
  <c r="Z28" i="13"/>
  <c r="I28" i="13"/>
  <c r="J28" i="13" s="1"/>
  <c r="F13" i="13"/>
  <c r="I13" i="13"/>
  <c r="Z40" i="13" l="1"/>
  <c r="J13" i="13"/>
  <c r="F40" i="13"/>
  <c r="J40" i="13" s="1"/>
  <c r="AB18" i="13" l="1"/>
  <c r="AB19" i="13"/>
  <c r="AB21" i="13"/>
  <c r="W61" i="13" l="1"/>
  <c r="W59" i="13"/>
  <c r="T57" i="13"/>
  <c r="W57" i="13" s="1"/>
  <c r="T56" i="13"/>
  <c r="W56" i="13" s="1"/>
  <c r="T55" i="13"/>
  <c r="W55" i="13" s="1"/>
  <c r="T54" i="13"/>
  <c r="W54" i="13" s="1"/>
  <c r="T53" i="13"/>
  <c r="W53" i="13" s="1"/>
  <c r="T52" i="13"/>
  <c r="W52" i="13" s="1"/>
  <c r="T51" i="13"/>
  <c r="W51" i="13" s="1"/>
  <c r="AD21" i="13"/>
  <c r="AC41" i="13" l="1"/>
  <c r="M6" i="7" l="1"/>
  <c r="M5" i="7"/>
  <c r="M4" i="7"/>
  <c r="L54" i="6" l="1"/>
  <c r="N53" i="6"/>
  <c r="P54" i="7"/>
  <c r="P28" i="7"/>
  <c r="P16" i="7"/>
  <c r="P18" i="7"/>
  <c r="P20" i="7"/>
  <c r="P22" i="7"/>
  <c r="P26" i="7"/>
  <c r="P14" i="7"/>
  <c r="P40" i="7"/>
  <c r="P44" i="7"/>
  <c r="P50" i="7"/>
  <c r="P52" i="7"/>
  <c r="G72" i="7"/>
  <c r="G78" i="7"/>
  <c r="G77" i="7"/>
  <c r="G76" i="7"/>
  <c r="G71" i="7" l="1"/>
  <c r="G89" i="7"/>
  <c r="G84" i="7"/>
  <c r="G85" i="7"/>
  <c r="G81" i="7"/>
  <c r="G92" i="7"/>
  <c r="G97" i="7"/>
  <c r="O58" i="7"/>
  <c r="O47" i="7"/>
  <c r="O31" i="7"/>
  <c r="O62" i="7"/>
  <c r="N58" i="7"/>
  <c r="N47" i="7"/>
  <c r="N31" i="7"/>
  <c r="N62" i="7"/>
  <c r="M62" i="7"/>
  <c r="M63" i="7" s="1"/>
  <c r="M58" i="7"/>
  <c r="M34" i="7"/>
  <c r="P34" i="7" s="1"/>
  <c r="M36" i="7"/>
  <c r="P36" i="7" s="1"/>
  <c r="M38" i="7"/>
  <c r="P38" i="7" s="1"/>
  <c r="M42" i="7"/>
  <c r="P42" i="7" s="1"/>
  <c r="M24" i="7"/>
  <c r="P24" i="7" s="1"/>
  <c r="G58" i="7"/>
  <c r="N104" i="6"/>
  <c r="L105" i="6"/>
  <c r="L106" i="6" s="1"/>
  <c r="K105" i="6"/>
  <c r="H54" i="6"/>
  <c r="H105" i="6"/>
  <c r="K58" i="7"/>
  <c r="K31" i="7"/>
  <c r="K47" i="7"/>
  <c r="G31" i="7"/>
  <c r="G47" i="7"/>
  <c r="N103" i="6"/>
  <c r="N105" i="6" s="1"/>
  <c r="J31" i="7"/>
  <c r="J58" i="7"/>
  <c r="J59" i="7" s="1"/>
  <c r="J47" i="7"/>
  <c r="O4" i="7"/>
  <c r="F120" i="6"/>
  <c r="I171" i="6"/>
  <c r="K54" i="6"/>
  <c r="K106" i="6" s="1"/>
  <c r="H114" i="6"/>
  <c r="I114" i="6"/>
  <c r="G114" i="6"/>
  <c r="F167" i="6"/>
  <c r="F168" i="6"/>
  <c r="F166" i="6"/>
  <c r="F176" i="6"/>
  <c r="F177" i="6"/>
  <c r="F175" i="6"/>
  <c r="E132" i="6"/>
  <c r="E133" i="6"/>
  <c r="E134" i="6"/>
  <c r="I148" i="6"/>
  <c r="I147" i="6"/>
  <c r="H127" i="6"/>
  <c r="K176" i="6"/>
  <c r="L4" i="6"/>
  <c r="N109" i="6" s="1"/>
  <c r="N110" i="6" s="1"/>
  <c r="I127" i="6"/>
  <c r="R66" i="6"/>
  <c r="R68" i="6" s="1"/>
  <c r="S66" i="6"/>
  <c r="R63" i="6"/>
  <c r="P53" i="6"/>
  <c r="P105" i="6" s="1"/>
  <c r="P103" i="6"/>
  <c r="R40" i="6"/>
  <c r="P115" i="6"/>
  <c r="D150" i="6"/>
  <c r="D158" i="6" s="1"/>
  <c r="D153" i="6"/>
  <c r="H147" i="6"/>
  <c r="H148" i="6" s="1"/>
  <c r="O53" i="6"/>
  <c r="O103" i="6"/>
  <c r="P154" i="6"/>
  <c r="O147" i="6"/>
  <c r="P137" i="6"/>
  <c r="O136" i="6"/>
  <c r="P136" i="6"/>
  <c r="P4" i="6"/>
  <c r="L120" i="6"/>
  <c r="L6" i="6"/>
  <c r="P109" i="6"/>
  <c r="L5" i="6"/>
  <c r="O109" i="6" s="1"/>
  <c r="L133" i="6"/>
  <c r="H124" i="6"/>
  <c r="H123" i="6"/>
  <c r="H122" i="6"/>
  <c r="L128" i="6" s="1"/>
  <c r="L129" i="6" s="1"/>
  <c r="N121" i="6"/>
  <c r="N120" i="6"/>
  <c r="N119" i="6"/>
  <c r="P104" i="6"/>
  <c r="O104" i="6"/>
  <c r="O34" i="6"/>
  <c r="N31" i="6"/>
  <c r="P28" i="6"/>
  <c r="P26" i="6"/>
  <c r="P24" i="6"/>
  <c r="N22" i="6"/>
  <c r="N18" i="6"/>
  <c r="N16" i="6"/>
  <c r="N14" i="6"/>
  <c r="N123" i="6"/>
  <c r="O54" i="6"/>
  <c r="O106" i="6" s="1"/>
  <c r="G81" i="4"/>
  <c r="I19" i="4"/>
  <c r="I17" i="4"/>
  <c r="I15" i="4"/>
  <c r="I40" i="4" s="1"/>
  <c r="J29" i="4"/>
  <c r="J27" i="4"/>
  <c r="I25" i="4"/>
  <c r="I23" i="4"/>
  <c r="J35" i="4"/>
  <c r="I32" i="4"/>
  <c r="F72" i="4"/>
  <c r="F71" i="4"/>
  <c r="F70" i="4"/>
  <c r="K73" i="4" s="1"/>
  <c r="G70" i="4"/>
  <c r="G72" i="4" s="1"/>
  <c r="I69" i="4"/>
  <c r="I68" i="4"/>
  <c r="I67" i="4"/>
  <c r="I71" i="4" s="1"/>
  <c r="G6" i="4"/>
  <c r="K58" i="4" s="1"/>
  <c r="G5" i="4"/>
  <c r="J58" i="4" s="1"/>
  <c r="G4" i="4"/>
  <c r="I58" i="4" s="1"/>
  <c r="I59" i="4" s="1"/>
  <c r="L40" i="4"/>
  <c r="L54" i="4"/>
  <c r="L55" i="4" s="1"/>
  <c r="K54" i="4"/>
  <c r="D8" i="5"/>
  <c r="C8" i="5"/>
  <c r="B8" i="5"/>
  <c r="F100" i="3"/>
  <c r="K40" i="4"/>
  <c r="P74" i="2"/>
  <c r="P73" i="2"/>
  <c r="L66" i="3"/>
  <c r="P61" i="2"/>
  <c r="N79" i="2"/>
  <c r="H31" i="1" s="1"/>
  <c r="P46" i="2"/>
  <c r="P42" i="2"/>
  <c r="P37" i="2"/>
  <c r="N51" i="2"/>
  <c r="H21" i="1" s="1"/>
  <c r="K55" i="4"/>
  <c r="J54" i="4"/>
  <c r="J55" i="4" s="1"/>
  <c r="F54" i="4"/>
  <c r="I54" i="4"/>
  <c r="F40" i="4"/>
  <c r="J40" i="4"/>
  <c r="N21" i="2"/>
  <c r="H10" i="1" s="1"/>
  <c r="F55" i="4"/>
  <c r="J10" i="1" l="1"/>
  <c r="I10" i="1"/>
  <c r="G21" i="1" s="1"/>
  <c r="I21" i="1" s="1"/>
  <c r="G31" i="1" s="1"/>
  <c r="J21" i="1"/>
  <c r="K36" i="1"/>
  <c r="N128" i="6"/>
  <c r="L122" i="6"/>
  <c r="K59" i="7"/>
  <c r="G40" i="4"/>
  <c r="G54" i="4"/>
  <c r="P48" i="2"/>
  <c r="E8" i="5"/>
  <c r="N54" i="6"/>
  <c r="N106" i="6" s="1"/>
  <c r="P54" i="6"/>
  <c r="P106" i="6" s="1"/>
  <c r="O105" i="6"/>
  <c r="J60" i="7"/>
  <c r="P112" i="6"/>
  <c r="F132" i="6"/>
  <c r="H106" i="6"/>
  <c r="R106" i="6" s="1"/>
  <c r="M47" i="7"/>
  <c r="G91" i="7"/>
  <c r="J31" i="1"/>
  <c r="I31" i="1"/>
  <c r="K107" i="6"/>
  <c r="I55" i="4"/>
  <c r="N112" i="6"/>
  <c r="G76" i="4"/>
  <c r="G77" i="4" s="1"/>
  <c r="R4" i="6"/>
  <c r="M31" i="7"/>
  <c r="G7" i="4"/>
  <c r="L58" i="4" s="1"/>
  <c r="I158" i="6"/>
  <c r="J120" i="6"/>
  <c r="G59" i="7"/>
  <c r="G80" i="7"/>
  <c r="J121" i="6"/>
  <c r="N111" i="6"/>
  <c r="O110" i="6" s="1"/>
  <c r="M59" i="7"/>
  <c r="M65" i="7" s="1"/>
  <c r="O59" i="7"/>
  <c r="N59" i="7"/>
  <c r="L124" i="6" l="1"/>
  <c r="P125" i="6"/>
  <c r="I76" i="4"/>
  <c r="I61" i="4"/>
  <c r="I60" i="4"/>
  <c r="J59" i="4" s="1"/>
  <c r="M64" i="7"/>
  <c r="O111" i="6"/>
  <c r="P110" i="6" s="1"/>
  <c r="P111" i="6" s="1"/>
  <c r="O112" i="6"/>
  <c r="J61" i="4" l="1"/>
  <c r="J60" i="4"/>
  <c r="K59" i="4" s="1"/>
  <c r="N63" i="7"/>
  <c r="N64" i="7" s="1"/>
  <c r="O63" i="7" s="1"/>
  <c r="O65" i="7" s="1"/>
  <c r="N65" i="7" l="1"/>
  <c r="K60" i="4"/>
  <c r="L59" i="4" s="1"/>
  <c r="K61" i="4"/>
  <c r="O64" i="7"/>
  <c r="L60" i="4" l="1"/>
  <c r="L61" i="4"/>
</calcChain>
</file>

<file path=xl/sharedStrings.xml><?xml version="1.0" encoding="utf-8"?>
<sst xmlns="http://schemas.openxmlformats.org/spreadsheetml/2006/main" count="1445" uniqueCount="738">
  <si>
    <t>No</t>
  </si>
  <si>
    <t>Nama Pemda</t>
  </si>
  <si>
    <t>Jenis</t>
  </si>
  <si>
    <t>Bidang</t>
  </si>
  <si>
    <t>(1)</t>
  </si>
  <si>
    <t>(2)</t>
  </si>
  <si>
    <t>(3)</t>
  </si>
  <si>
    <t>(4)</t>
  </si>
  <si>
    <t>(5)</t>
  </si>
  <si>
    <t>(6)</t>
  </si>
  <si>
    <t>(7)</t>
  </si>
  <si>
    <t>Kab. Buleleng</t>
  </si>
  <si>
    <t>1. DAK Reguler</t>
  </si>
  <si>
    <t>5. Kelautan dan Perikanan</t>
  </si>
  <si>
    <t>Pagu (Rp)</t>
  </si>
  <si>
    <t>Dana Tahap I</t>
  </si>
  <si>
    <t>Realisasi</t>
  </si>
  <si>
    <t>Sisa Tahap I</t>
  </si>
  <si>
    <t>(8)</t>
  </si>
  <si>
    <t>(9)</t>
  </si>
  <si>
    <t>Prosentase</t>
  </si>
  <si>
    <t>Realisasi Penyaluran DAK Fisik Tahun Anggaran 2017</t>
  </si>
  <si>
    <t>Daftar Permasalahan Penyaluran DAK Fisik dan Dana Desa</t>
  </si>
  <si>
    <t>DAK</t>
  </si>
  <si>
    <t>Uraian Permasalahan</t>
  </si>
  <si>
    <t>Keterangan</t>
  </si>
  <si>
    <t>NO</t>
  </si>
  <si>
    <t>NO SPP/TGL</t>
  </si>
  <si>
    <t>NO SPM/TGL</t>
  </si>
  <si>
    <t>NO SP2D/TGL</t>
  </si>
  <si>
    <t>URAIAN</t>
  </si>
  <si>
    <t>JUMLAH</t>
  </si>
  <si>
    <t>KET</t>
  </si>
  <si>
    <t>Pengembangan sarana dan prasarana perikanan Budidaya</t>
  </si>
  <si>
    <t>03546/SP2D/LS/2017, tanggal 14 Juli 2017</t>
  </si>
  <si>
    <t>Cv .Sumarjaya</t>
  </si>
  <si>
    <t>Amprah 30 % atas pengadaan kolam patin</t>
  </si>
  <si>
    <t>03512/SP2D/LS/2017, tanggal 13 Juli 2017</t>
  </si>
  <si>
    <t>Cv. Ari Wirayuda</t>
  </si>
  <si>
    <t>03557/SP2D/LS/2017, tanggal 14 Juli 2017</t>
  </si>
  <si>
    <t>Cv.Dwita Paramita</t>
  </si>
  <si>
    <t>03566/SP2D/LS/2017, tanggal 14 Juli 2017</t>
  </si>
  <si>
    <t>Cv . Manarjaya</t>
  </si>
  <si>
    <t>Amprah 100  % atas Konsultan Perencanaaan</t>
  </si>
  <si>
    <t>03564/SP2D/LS/2017, tanggal 14 Juli 2017</t>
  </si>
  <si>
    <t>Cv . Dema Karya Mandiri</t>
  </si>
  <si>
    <t>03556/SP2D/LS/2017, tanggal 14 Juli 2017</t>
  </si>
  <si>
    <t>Cv . Astika Dwi Karya</t>
  </si>
  <si>
    <t>Pengembangan Bibit Unggul Ikan Air Tawar</t>
  </si>
  <si>
    <t>03515/SP2D/LS/2017, tanggal 13 Juli 2017</t>
  </si>
  <si>
    <t>Cv . Karya mandiri</t>
  </si>
  <si>
    <t>Pengadaan Pompa Celup</t>
  </si>
  <si>
    <t>03516/SP2D/LS/2017, tanggal 13 Juli 2017</t>
  </si>
  <si>
    <t>Pengadaan mesin pemotong rumput</t>
  </si>
  <si>
    <t>03562/SP2D/LS/2017, tanggal 14 Juli 2017</t>
  </si>
  <si>
    <t>Amprah 30 % atas rehab saluran air</t>
  </si>
  <si>
    <t>Amprah 30 % atas rehab kolam Bak induk</t>
  </si>
  <si>
    <t>PT. Digital Akurasi cab.Bali</t>
  </si>
  <si>
    <t>Peralatan Pengukuran dan Pemeriksaan Kesehatan Ikan</t>
  </si>
  <si>
    <t>CV.Indocons</t>
  </si>
  <si>
    <t>Konsultan Perencanaan rehab kolam</t>
  </si>
  <si>
    <t>PT.Manik Tribuana</t>
  </si>
  <si>
    <t>Konsultan Perencanaan saluran air</t>
  </si>
  <si>
    <t>Pengembangan sarana dan prasarana perikanan Tangkap</t>
  </si>
  <si>
    <t xml:space="preserve">UD.Sinta Marine </t>
  </si>
  <si>
    <t>Pengadaan mesin Tempel 15 PK</t>
  </si>
  <si>
    <t>FORMAT UNTUK INPUT DATA DAK FISIK DI SISTEM OMSPAN</t>
  </si>
  <si>
    <t>JENIS DANA BIDANG</t>
  </si>
  <si>
    <t>DAK REGULER</t>
  </si>
  <si>
    <t>JENIS PEMBAYARAN</t>
  </si>
  <si>
    <t>BERTAHAP</t>
  </si>
  <si>
    <t>SEKALIGUS</t>
  </si>
  <si>
    <t>SIFAT PEKERJAAN</t>
  </si>
  <si>
    <t>KONTRAKTUAL</t>
  </si>
  <si>
    <t>NILAI</t>
  </si>
  <si>
    <t>NAMA PENYEDIA</t>
  </si>
  <si>
    <t>Cv. Daya Bangun Sarana</t>
  </si>
  <si>
    <t>URAIAN PEKERJAAN</t>
  </si>
  <si>
    <t>JUMLAH SP2D</t>
  </si>
  <si>
    <t>FISIK</t>
  </si>
  <si>
    <t>KONTRAKTUAL / SURAT PESANAN</t>
  </si>
  <si>
    <t>KONTRAKTUAL /        E-KATALOG</t>
  </si>
  <si>
    <t>22/SPK.BD/VII/Diskan/2017          03 Juli 2017</t>
  </si>
  <si>
    <t>25/SPK.BD/VII/Diskan/2017          06 Juli 2017</t>
  </si>
  <si>
    <t>9/SPK.BD/VI/Diskan/2017         07 Juni 2017</t>
  </si>
  <si>
    <t>7/SPK.BD/V/Diskan/2017           26 Mei 2017</t>
  </si>
  <si>
    <t>5/SPK.BD/V/Diskan/2017            19 Mei 2017</t>
  </si>
  <si>
    <t>027/II/I/VII/PPBJ/Diskan               11 Juli 2017</t>
  </si>
  <si>
    <t>6/SPK.BD/V/Diskan/2017             22 Mei 2017</t>
  </si>
  <si>
    <t>14/SPK.BD/VI/Diskan/2017        15 Juni 2017</t>
  </si>
  <si>
    <t>15/SPK.BD/VI/Diskan/2017       19 Juni 2017</t>
  </si>
  <si>
    <t>13/SPK.BD/VI/Diskan/2017         15 Juni 2017</t>
  </si>
  <si>
    <t>17/SPK.BD/VI/Diskan/2017           16 Juni 2017</t>
  </si>
  <si>
    <t>16/SPK.BD/VI/Diskan/2017         19 Juni 2017</t>
  </si>
  <si>
    <t>027/21/2/VI/PPB/Diskan/2017   21 Juni 2017</t>
  </si>
  <si>
    <t>027/21/1/VI/PPB/Diskan/2017    21 Juni 2017</t>
  </si>
  <si>
    <t>Kolam Ikan Patin</t>
  </si>
  <si>
    <t>CV. DWITYA PARAMITA</t>
  </si>
  <si>
    <t>CV. ARY WIRAYUDA</t>
  </si>
  <si>
    <t>CV. SUMAR JAYA</t>
  </si>
  <si>
    <t>CV. DEMA KARYA MANDIRI</t>
  </si>
  <si>
    <t>CV. ASTIKA DWI KARYA</t>
  </si>
  <si>
    <t>Kolam Ikan Terpal</t>
  </si>
  <si>
    <t>Peralatan Perikanan</t>
  </si>
  <si>
    <t>UD. DWI BAKTI LAKSANA</t>
  </si>
  <si>
    <t xml:space="preserve"> </t>
  </si>
  <si>
    <t>Bibit Ikan</t>
  </si>
  <si>
    <t>Konsultan Perencanaan</t>
  </si>
  <si>
    <t>CV. MANAR JAYA</t>
  </si>
  <si>
    <t>Konsultan Pengawasan</t>
  </si>
  <si>
    <t>Perjalan Dinas Dlm Daerah</t>
  </si>
  <si>
    <t>SWAKELOLA</t>
  </si>
  <si>
    <t>Blower</t>
  </si>
  <si>
    <t>CV. KARYA MANDIRI</t>
  </si>
  <si>
    <t>Mesin Pemotong Rumput</t>
  </si>
  <si>
    <t>Pompa Celup</t>
  </si>
  <si>
    <t>CV. INDOCONS</t>
  </si>
  <si>
    <t>CV. DAYA BANGUN SARANA</t>
  </si>
  <si>
    <t>PT. MANIK TRIBUWANA</t>
  </si>
  <si>
    <t>Mesin Tempel 15 PK</t>
  </si>
  <si>
    <t>Pengadaan Jukung Fiber</t>
  </si>
  <si>
    <t>RENCANA</t>
  </si>
  <si>
    <t>NO KONTRAK / TANGGAL KONTRAK</t>
  </si>
  <si>
    <t>NILAI (RP)</t>
  </si>
  <si>
    <t>I. Pengembangan Sarana dan Prasarana Perikanan Budidaya</t>
  </si>
  <si>
    <t>-</t>
  </si>
  <si>
    <t>Peralatan Pengukuran dan pemeriksanaan Kesehatan Ikan/Mutu Benih</t>
  </si>
  <si>
    <t>Konsultan Perencanaan Rehabilitasi Kolam/Bak Induk/Calon Induk</t>
  </si>
  <si>
    <t>Rehabilitasi Kolam/Bak Induk/Calon Induk</t>
  </si>
  <si>
    <t>Konsultan Pengawasan Rehabilitasi Kolam/Bak Induk/Calon Induk</t>
  </si>
  <si>
    <t>Konsultan Perencanaan Rehabilitasi Saluran Air Masuk Kolam Ikan</t>
  </si>
  <si>
    <t>Rehabilitasi saluran air masuk kolam ikan</t>
  </si>
  <si>
    <t>NAMA VENDOR</t>
  </si>
  <si>
    <t>KETERANGAN</t>
  </si>
  <si>
    <t>Amprah sudah 100 %</t>
  </si>
  <si>
    <t>II. Pengembangan Bibit Unggul Ikan Air Tawar</t>
  </si>
  <si>
    <t>III. Pengembangan Perikanan Tangkap</t>
  </si>
  <si>
    <t>NO SP2D</t>
  </si>
  <si>
    <t>03546/SP2D/LS/2017                                            14 Juli 2017</t>
  </si>
  <si>
    <t>03557/SP2D/LS/2017                                    14 Juli 2017</t>
  </si>
  <si>
    <t>03512/SP2D/LS/2017                        13 Juli 2017</t>
  </si>
  <si>
    <t>03564/SP2D/LS/2017                                 14 Juli 2017</t>
  </si>
  <si>
    <t>03556/SP2D/LS/2017                       14 Juli 2017</t>
  </si>
  <si>
    <t>03566/SP2D/LS/2017                                         14 Juli 2017</t>
  </si>
  <si>
    <t>03687/SP2D/LS/2017, tanggal 18 Juli 2017</t>
  </si>
  <si>
    <t>03774/SP2D/LS/2017, tanggal 18 Juli 2017</t>
  </si>
  <si>
    <t>03773/SP2D/LS/2017, tanggal 18 Juli 2017</t>
  </si>
  <si>
    <t>03516/SP2D/LS/2017                                13 Juli 2017</t>
  </si>
  <si>
    <t>03515/SP2D/LS/2017                           13 Juli 2017</t>
  </si>
  <si>
    <t>03774/SP2D/LS/2017              18 Juli 2017</t>
  </si>
  <si>
    <t>03687/SP2D/LS/2017                         18 Juli 2017</t>
  </si>
  <si>
    <t>03773/SP2D/LS/2017                          18 Juli 2017</t>
  </si>
  <si>
    <t>03562/SP2D/LS/2017                         14 Juli 2017</t>
  </si>
  <si>
    <t>UD. Sinta Marine</t>
  </si>
  <si>
    <t>PT. DIGITAL AKURASI</t>
  </si>
  <si>
    <t>03866/SP2D/LS/2017                                20 Juli 2017</t>
  </si>
  <si>
    <t>03688/SP2D/LS/2017                                18 Juli 2017</t>
  </si>
  <si>
    <t>03688/SP2D/LS/2017, tanggal 18 Juli 2017</t>
  </si>
  <si>
    <t>03866/SP2D/LS/2017, tanggal 20 Juli 2017</t>
  </si>
  <si>
    <t>Nama Kelompok</t>
  </si>
  <si>
    <t>Jenis Pengadaan</t>
  </si>
  <si>
    <t>Volume</t>
  </si>
  <si>
    <t>Jumlah Dana (Rp)</t>
  </si>
  <si>
    <t>Jumlah Kontrak (Rp)</t>
  </si>
  <si>
    <t>Penyedia</t>
  </si>
  <si>
    <t>I. Pengembangan Sarana dan Prasarana Perikanan Budidaya ( Pak Sudiasa)</t>
  </si>
  <si>
    <t>1 Tahun</t>
  </si>
  <si>
    <t>REALISASI</t>
  </si>
  <si>
    <t>JUMLAH TOTAL</t>
  </si>
  <si>
    <t>Dana Tahap II + Sisa Tahap I</t>
  </si>
  <si>
    <t>Sisa Tahap II</t>
  </si>
  <si>
    <t>Dana DAK Tahap I</t>
  </si>
  <si>
    <t>Dana DAK Tahap II</t>
  </si>
  <si>
    <t>05560/SP2D/LS/2017, tanggal 30 Agustus 2017</t>
  </si>
  <si>
    <t>Amprah 95 % dan Retensi 5 % atas Kolam Patin</t>
  </si>
  <si>
    <t>CV .Sumarjaya</t>
  </si>
  <si>
    <t>CV. Ari Wirayuda</t>
  </si>
  <si>
    <t>CV. Dwita Paramita</t>
  </si>
  <si>
    <t>05561/SP2D/LS/2017, tanggal 30 Agustus 2017</t>
  </si>
  <si>
    <t>CV. Astika Dwi Karya</t>
  </si>
  <si>
    <t>CV . Dema Karya Mandiri</t>
  </si>
  <si>
    <t>05595/SP2D/LS/2017, tanggal 31 Agustus 2017</t>
  </si>
  <si>
    <t>NO KONTRAK                       TANGGAL KONTRAK</t>
  </si>
  <si>
    <t>NO KONTRAK                      TANGGAL KONTRAK</t>
  </si>
  <si>
    <t>00060/SPP/LS/Diskan/2017, tanggal 21 Agustus 2017</t>
  </si>
  <si>
    <t>00029/SPP/LS/Diskan/2017, tanggal 10 juli 2017</t>
  </si>
  <si>
    <t>00030/SPP/LS/Diskan/2017, tanggal 10 juli 2017</t>
  </si>
  <si>
    <t>00028/SPP/LS/Diskan/2017, tanggal 10 juli 2017</t>
  </si>
  <si>
    <t>00027/SPP/LS/Diskan/2017, tanggal 10 juli 2017</t>
  </si>
  <si>
    <t>00031/SPP/LS/Diskan/2017, tanggal 10 juli 2017</t>
  </si>
  <si>
    <t>00026/SPP/LS/Diskan/2017, tanggal 10 juli 2017</t>
  </si>
  <si>
    <t>00032/SPP/LS/Diskan/2017, tanggal 12 juli 2017</t>
  </si>
  <si>
    <t>00033/SPP/LS/Diskan/2017, tanggal 12 juli 2017</t>
  </si>
  <si>
    <t>00034/SPP/LS/Diskan/2017, tanggal 12 juli 2017</t>
  </si>
  <si>
    <t>00037/SPP/LS/Diskan/2017, tanggal 13 juli 2017</t>
  </si>
  <si>
    <t>00036/SPP/LS/Diskan/2017, tanggal 13 juli 2017</t>
  </si>
  <si>
    <t>00039/SPP/LS/Diskan/2017, tanggal 13 juli 2017</t>
  </si>
  <si>
    <t>00038/SPP/LS/Diskan/2017, tanggal 13 juli 2017</t>
  </si>
  <si>
    <t>00035/SPP/LS/Diskan/2017, tanggal 12 juli 2017</t>
  </si>
  <si>
    <t>00029/SPM/LS/Diskan/2017, tanggal 10 juli 2017</t>
  </si>
  <si>
    <t>00030/SPM/LS/Diskan/2017, tanggal 10 juli 2017</t>
  </si>
  <si>
    <t>00028/SPM/LS/Diskan/2017, tanggal 10 juli 2017</t>
  </si>
  <si>
    <t>00027/SPM/LS/Diskan/2017, tanggal 10 juli 2017</t>
  </si>
  <si>
    <t>00031/SPM/LS/Diskan/2017, tanggal 10 juli 2017</t>
  </si>
  <si>
    <t>00026/SPM/LS/Diskan/2017, tanggal 10 juli 2017</t>
  </si>
  <si>
    <t>00032/SPM/LS/Diskan/2017, tanggal 12 juli 2017</t>
  </si>
  <si>
    <t>00033/SPM/LS/Diskan/2017, tanggal 12 juli 2017</t>
  </si>
  <si>
    <t>00034/SPM/LS/Diskan/2017, tanggal 12 juli 2017</t>
  </si>
  <si>
    <t>00037/SPM/LS/Diskan/2017, tanggal 13 juli 2017</t>
  </si>
  <si>
    <t>00036/SPM/LS/Diskan/2017, tanggal 13 juli 2017</t>
  </si>
  <si>
    <t>00039/SPM/LS/Diskan/2017, tanggal 13 juli 2017</t>
  </si>
  <si>
    <t>00035/SPM/LS/Diskan/2017, tanggal 12 juli 2017</t>
  </si>
  <si>
    <t>00061/SPP/LS/Diskan/2017, tanggal 21 Agustus 2017</t>
  </si>
  <si>
    <t>00062/SPP/LS/Diskan/2017, tanggal 28 Agustus 2017</t>
  </si>
  <si>
    <t>00060/SPM/LS/Diskan/2017, tanggal 21 Agustus 2017</t>
  </si>
  <si>
    <t>00061/SPM/LS/Diskan/2017, tanggal 21 Agustus 2017</t>
  </si>
  <si>
    <t>00062/SPM/LS/Diskan/2017, tanggal 28 Agustus 2017</t>
  </si>
  <si>
    <t>00038/SPM/LS/Diskan/2017, tanggal 13 juli 2017</t>
  </si>
  <si>
    <t>00063/SPP/LS/Diskan/2017, tanggal 5 September 2017</t>
  </si>
  <si>
    <t>00063/SPM/LS/Diskan/2017, tanggal 5 September 2017</t>
  </si>
  <si>
    <t>06159/SP2D/LS/2017, tanggal 8 September 2017</t>
  </si>
  <si>
    <t>00065/SPP/LS/Diskan/2017, tanggal 5 September 2017</t>
  </si>
  <si>
    <t>00065/SPM/LS/Diskan/2017, tanggal 5 September 2017</t>
  </si>
  <si>
    <t>06287/SP2D/LS/2017, tanggal 12 September 2017</t>
  </si>
  <si>
    <t>00064/SPP/LS/Diskan/2017, tanggal 5 September 2017</t>
  </si>
  <si>
    <t>00064/SPM/LS/Diskan/2017, tanggal 5 September 2017</t>
  </si>
  <si>
    <t>06286/SP2D/LS/2017, tanggal 12 September 2017</t>
  </si>
  <si>
    <t>Amprah 70 % atas rehab saluran air masuk kolam ikan</t>
  </si>
  <si>
    <t>Pengawasan</t>
  </si>
  <si>
    <t>Perjalanan Dinas Dalam Daerah Kegiatan Pengembangan Sarana dan Prasarana Perikanan Budidaya</t>
  </si>
  <si>
    <t>00050/SPP/LS/Diskan/2017, tanggal 2 Agustus 2017</t>
  </si>
  <si>
    <t>00050/SPM/LS/Diskan/2017, tanggal 2 Agustus 2017</t>
  </si>
  <si>
    <t>04794/SP2D/LS/2017, tanggal 9 Agustus 2017</t>
  </si>
  <si>
    <t>Perjalanan Dinas</t>
  </si>
  <si>
    <t>00051/SPP/LS/Diskan/2017, tanggal 2 Agustus 2017</t>
  </si>
  <si>
    <t>00051/SPM/LS/Diskan/2017, tanggal 2 Agustus 2017</t>
  </si>
  <si>
    <t>04795/SP2D/LS/2017, tanggal 9 Agustus 2017</t>
  </si>
  <si>
    <t>00052/SPP/LS/Diskan/2017, tanggal 2 Agustus 2017</t>
  </si>
  <si>
    <t>00052/SPM/LS/Diskan/2017, tanggal 2 Agustus 2017</t>
  </si>
  <si>
    <t>04791/SP2D/LS/2017, tanggal 9 Agustus 2017</t>
  </si>
  <si>
    <t>00053/SPP/LS/Diskan/2017, tanggal 2 Agustus 2017</t>
  </si>
  <si>
    <t>00053/SPM/LS/Diskan/2017, tanggal 2 Agustus 2017</t>
  </si>
  <si>
    <t>04792/SP2D/LS/2017, tanggal 9 Agustus 2017</t>
  </si>
  <si>
    <t>00054/SPP/LS/Diskan/2017, tanggal 2 Agustus 2017</t>
  </si>
  <si>
    <t>00054/SPM/LS/Diskan/2017, tanggal 2 Agustus 2017</t>
  </si>
  <si>
    <t>04793/SP2D/LS/2017, tanggal 9 Agustus 2017</t>
  </si>
  <si>
    <t>00055/SPP/LS/Diskan/2017, tanggal 2 Agustus 2017</t>
  </si>
  <si>
    <t>00055/SPM/LS/Diskan/2017, tanggal 2 Agustus 2017</t>
  </si>
  <si>
    <t>04796/SP2D/LS/2017, tanggal 9 Agustus 2017</t>
  </si>
  <si>
    <t>Amprah bertahap perjalanan dinas dalam daerah</t>
  </si>
  <si>
    <t>Perjalanan Dinas Dalam Daerah Kegiatan Pengembangan Bibit Unggul Ikan Air Tawar</t>
  </si>
  <si>
    <t>00043/SPP/LS/Diskan/2017, tanggal 26 Juli 2017</t>
  </si>
  <si>
    <t>00043/SPM/LS/Diskan/2017, tanggal 26 Juli 2017</t>
  </si>
  <si>
    <t>04297/SP2D/LS/2017, tanggal 1 Agustus 2017</t>
  </si>
  <si>
    <t>00044/SPP/LS/Diskan/2017, tanggal 26 Juli 2017</t>
  </si>
  <si>
    <t>00044/SPM/LS/Diskan/2017, tanggal 26 Juli 2017</t>
  </si>
  <si>
    <t>04296/SP2D/LS/2017, tanggal 1 Agustus 2017</t>
  </si>
  <si>
    <t>00045/SPP/LS/Diskan/2017, tanggal 26 Juli 2017</t>
  </si>
  <si>
    <t>00045/SPM/LS/Diskan/2017, tanggal 26 Juli 2017</t>
  </si>
  <si>
    <t>04298/SP2D/LS/2017, tanggal 1 Agustus 2017</t>
  </si>
  <si>
    <t>00046/SPP/LS/Diskan/2017, tanggal 26 Juli 2017</t>
  </si>
  <si>
    <t>00046/SPM/LS/Diskan/2017, tanggal 26 Juli 2017</t>
  </si>
  <si>
    <t>Perjalanan Dinas Dalam Daerah Kegiatan Pengembangan Sarana dan Prasarana Perikanan Tangkap</t>
  </si>
  <si>
    <t>00067/SPP/LS/Diskan/2017, tanggal 5 September 2017</t>
  </si>
  <si>
    <t>00067/SPM/LS/Diskan/2017, tanggal 5 September 2017</t>
  </si>
  <si>
    <t>06326/SP2D/LS/2017, tanggal 12 September 2017</t>
  </si>
  <si>
    <t>00068/SPP/LS/Diskan/2017, tanggal 5 September 2017</t>
  </si>
  <si>
    <t>00068/SPM/LS/Diskan/2017, tanggal 5 September 2017</t>
  </si>
  <si>
    <t>06323/SP2D/LS/2017, tanggal 12 September 2017</t>
  </si>
  <si>
    <t>00069/SPP/LS/Diskan/2017, tanggal 5 September 2017</t>
  </si>
  <si>
    <t>00069/SPM/LS/Diskan/2017, tanggal 5 September 2017</t>
  </si>
  <si>
    <t>06328/SP2D/LS/2017, tanggal 12 September 2017</t>
  </si>
  <si>
    <t>00070/SPP/LS/Diskan/2017, tanggal 5 September 2017</t>
  </si>
  <si>
    <t>00070/SPM/LS/Diskan/2017, tanggal 5 September 2017</t>
  </si>
  <si>
    <t>06325/SP2D/LS/2017, tanggal 12 September 2017</t>
  </si>
  <si>
    <t>00071/SPP/LS/Diskan/2017, tanggal 5 September 2017</t>
  </si>
  <si>
    <t>00071/SPM/LS/Diskan/2017, tanggal 5 September 2017</t>
  </si>
  <si>
    <t>06327/SP2D/LS/2017, tanggal 12 September 2017</t>
  </si>
  <si>
    <t>00072/SPP/LS/Diskan/2017, tanggal 5 September 2017</t>
  </si>
  <si>
    <t>00072/SPM/LS/Diskan/2017, tanggal 5 September 2017</t>
  </si>
  <si>
    <t>06324/SP2D/LS/2017, tanggal 12 September 2017</t>
  </si>
  <si>
    <t>Rencana OMSPAN</t>
  </si>
  <si>
    <t>05561/SP2D/LS/2017                                    30 Agustus 2017</t>
  </si>
  <si>
    <t>06159/SP2D/LS/2017                                    8 September 2017</t>
  </si>
  <si>
    <t>05560/SP2D/LS/2017                                    30 Agustus 2017</t>
  </si>
  <si>
    <t>06287/SP2D/LS/2017                                    12 September 2017</t>
  </si>
  <si>
    <t>05595/SP2D/LS/2017                                    31 Agustus 2017</t>
  </si>
  <si>
    <t>04794/SP2D/LS/2017                                            9 Agustus 2017</t>
  </si>
  <si>
    <t>04795/SP2D/LS/2017                                            9 Agustus 2017</t>
  </si>
  <si>
    <t>04791/SP2D/LS/2017                                            9 Agustus 2017</t>
  </si>
  <si>
    <t>04792/SP2D/LS/2017                                            9 Agustus 2017</t>
  </si>
  <si>
    <t>04793/SP2D/LS/2017                                            9 Agustus 2017</t>
  </si>
  <si>
    <t>04796/SP2D/LS/2017                                            9 Agustus 2017</t>
  </si>
  <si>
    <t>06286/SP2D/LS/2017                         12 September 2017</t>
  </si>
  <si>
    <t>04299/SP2D/LS/2017, tanggal 3 Agustus 2017</t>
  </si>
  <si>
    <t>04297/SP2D/LS/2017                         1 Agustus 2017</t>
  </si>
  <si>
    <t>04296/SP2D/LS/2017                         1 Agustus 2017</t>
  </si>
  <si>
    <t>04298/SP2D/LS/2017                         1 Agustus 2017</t>
  </si>
  <si>
    <t>04299/SP2D/LS/2017                         3 Agustus 2017</t>
  </si>
  <si>
    <t>06326/SP2D/LS/2017           12 September 2017</t>
  </si>
  <si>
    <t>06323/SP2D/LS/2017          12 September 2017</t>
  </si>
  <si>
    <t>06328/SP2D/LS/2017          12 September 2017</t>
  </si>
  <si>
    <t>06325/SP2D/LS/2017                       12 September 2017</t>
  </si>
  <si>
    <t>06327/SP2D/LS/2017                            12 September 2017</t>
  </si>
  <si>
    <t>06324/SP2D/LS/2017                   12 September 2017</t>
  </si>
  <si>
    <t>CV . Manar Jaya</t>
  </si>
  <si>
    <t>00073/SPP/LS/Diskan/2017, tanggal 13 September 2017</t>
  </si>
  <si>
    <t>00073/SPM/LS/Diskan/2017, tanggal 13 September 2017</t>
  </si>
  <si>
    <t>12/SPK.BD/VI/Diskan/2017             15 Juni 2017</t>
  </si>
  <si>
    <t>Dana DAK Tahap III</t>
  </si>
  <si>
    <t>Dana Tahap III + Sisa Tahap II</t>
  </si>
  <si>
    <t>Sisa Tahap III</t>
  </si>
  <si>
    <t xml:space="preserve"> -</t>
  </si>
  <si>
    <t>06652/SP2D/LS/2017, tanggal 19 September 2017</t>
  </si>
  <si>
    <t>06652/SP2D/LS/2017                                            19  September 2017</t>
  </si>
  <si>
    <t>Perjalanan dinas dalam daerah kegiatan pengembangan sarana dan prasarana perikanan tangkap</t>
  </si>
  <si>
    <t>00077/SPP/LS/Diskan/2017, tanggal 25 September 2017</t>
  </si>
  <si>
    <t>00077/SPM/LS/Diskan/2017, tanggal 25 September 2017</t>
  </si>
  <si>
    <t>07277/SP2D/LS/2017, tanggal 9 Oktober 2017</t>
  </si>
  <si>
    <t>00078/SPP/LS/Diskan/2017, tanggal 25 September 2017</t>
  </si>
  <si>
    <t>00078/SPM/LS/Diskan/2017, tanggal 25 September 2017</t>
  </si>
  <si>
    <t>07278/SP2D/LS/2017, tanggal 9 Oktober 2017</t>
  </si>
  <si>
    <t>00079/SPP/LS/Diskan/2017, tanggal 25 September 2017</t>
  </si>
  <si>
    <t>00079/SPM/LS/Diskan/2017, tanggal 25 September 2017</t>
  </si>
  <si>
    <t>07279/SP2D/LS/2017, tanggal 9 Oktober 2017</t>
  </si>
  <si>
    <t>00080/SPP/LS/Diskan/2017, tanggal 25 September 2017</t>
  </si>
  <si>
    <t>00080/SPM/LS/Diskan/2017, tanggal 25 September 2017</t>
  </si>
  <si>
    <t>07280/SP2D/LS/2017, tanggal 9 Oktober 2017</t>
  </si>
  <si>
    <t>31/SPK.BD/VII/Diskan/2017       17 Juli 2017</t>
  </si>
  <si>
    <t>CV. Puri Karya Nusantara</t>
  </si>
  <si>
    <t>00082/SPP/LS/Diskan/2017, tanggal 11 Oktober 2017</t>
  </si>
  <si>
    <t>00082/SPM/LS/Diskan/2017, tanggal 11 Oktober 2017</t>
  </si>
  <si>
    <t>07770/SP2D/LS/2017, tanggal 17 Oktober 2017</t>
  </si>
  <si>
    <t>00085/SPP/LS/Diskan/2017, tanggal 24 Oktober 2017</t>
  </si>
  <si>
    <t>00085/SPM/LS/Diskan/2017, tanggal 24 Oktober 2017</t>
  </si>
  <si>
    <t>08221/SP2D/LS/2017, tanggal 27 Oktober 2017</t>
  </si>
  <si>
    <t>Amprah 70 % atas rehab kolam Bak induk</t>
  </si>
  <si>
    <t>34/SPK.BD/VII/Diskan/2017       20 Juli 2017</t>
  </si>
  <si>
    <t>Pengadaan peralatan perikanan</t>
  </si>
  <si>
    <t>Pengadaan jukung fiber</t>
  </si>
  <si>
    <t>CV. Lumbung Guna Mandiri</t>
  </si>
  <si>
    <t>00086/SPP/LS/Diskan/2017, tanggal 24 Oktober 2017</t>
  </si>
  <si>
    <t>00086/SPM/LS/Diskan/2017, tanggal 24 Oktober 2017</t>
  </si>
  <si>
    <t>08703/SP2D/LS/2017, tanggal 6 Nopember 2017</t>
  </si>
  <si>
    <t>CV. Sukanda Art</t>
  </si>
  <si>
    <t>00088/SPP/LS/Diskan/2017, tanggal 26 Oktober 2017</t>
  </si>
  <si>
    <t>00088/SPM/LS/Diskan/2017, tanggal 26 Oktober 2017</t>
  </si>
  <si>
    <t>09288/SP2D/LS/2017, tanggal 16 Nopember 2017</t>
  </si>
  <si>
    <t>Konsultan Pengawasan rehab kolam</t>
  </si>
  <si>
    <t>JASA</t>
  </si>
  <si>
    <t>00093/SPP/LS/Diskan/2017, tanggal 21 Nopember 2017</t>
  </si>
  <si>
    <t>00094/SPP/LS/Diskan/2017, tanggal 21 Nopember 2017</t>
  </si>
  <si>
    <t>00095/SPP/LS/Diskan/2017, tanggal 21 Nopember 2017</t>
  </si>
  <si>
    <t>00096/SPP/LS/Diskan/2017, tanggal 21 Nopember 2017</t>
  </si>
  <si>
    <t>00097/SPP/LS/Diskan/2017, tanggal 21 Nopember 2017</t>
  </si>
  <si>
    <t>00098/SPP/LS/Diskan/2017, tanggal 21 Nopember 2017</t>
  </si>
  <si>
    <t>00099/SPP/LS/Diskan/2017, tanggal 21 Nopember 2017</t>
  </si>
  <si>
    <t>00100/SPP/LS/Diskan/2017, tanggal 21 Nopember 2017</t>
  </si>
  <si>
    <t>00093/SPM/LS/Diskan/2017, tanggal 21 Nopember 2017</t>
  </si>
  <si>
    <t>00094/SPM/LS/Diskan/2017, tanggal 21 Nopember 2017</t>
  </si>
  <si>
    <t>00095/SPM/LS/Diskan/2017, tanggal 21 Nopember 2017</t>
  </si>
  <si>
    <t>00096/SPM/LS/Diskan/2017, tanggal 21 Nopember 2017</t>
  </si>
  <si>
    <t>00097/SPM/LS/Diskan/2017, tanggal 21 Nopember 2017</t>
  </si>
  <si>
    <t>00098/SPM/LS/Diskan/2017, tanggal 21 Nopember 2017</t>
  </si>
  <si>
    <t>00099/SPM/LS/Diskan/2017, tanggal 21 Nopember 2017</t>
  </si>
  <si>
    <t>Dilaksanakan bulan Desember</t>
  </si>
  <si>
    <t>10718/SP2D/LS/2017, tanggal 30 Nopember 2017</t>
  </si>
  <si>
    <t>11974/SP2D/LS/2017, tanggal 5 Desember 2017</t>
  </si>
  <si>
    <t>11978/SP2D/LS/2017, tanggal 5 Desember 2017</t>
  </si>
  <si>
    <t>11973/SP2D/LS/2017, tanggal 5 Desember 2017</t>
  </si>
  <si>
    <t>11977/SP2D/LS/2017, tanggal 5 Desember 2017</t>
  </si>
  <si>
    <t>11975/SP2D/LS/2017, tanggal 5 Desember 2017</t>
  </si>
  <si>
    <t>00100/SPM/LS/Diskan/2017, tanggal 23 Nopember 2017</t>
  </si>
  <si>
    <t>11976/SP2D/LS/2017, tanggal 5 Desember 2017</t>
  </si>
  <si>
    <t>12075/SP2D/LS/2017, tanggal 6 Desember 2017</t>
  </si>
  <si>
    <t>07277/SP2D/LS/2017              9 Oktober 2017</t>
  </si>
  <si>
    <t>07278/SP2D/LS/2017               9 Oktober 2017</t>
  </si>
  <si>
    <t>07279/SP2D/LS/2017                      9 Oktober 2017</t>
  </si>
  <si>
    <t>07280/SP2D/LS/2017                            9 Oktober 2017</t>
  </si>
  <si>
    <t>08221/SP2D/LS/2017                  27 Oktober 2017</t>
  </si>
  <si>
    <t>09288/SP2D/LS/2017                   16 Nopember 2017</t>
  </si>
  <si>
    <t>Amprah dilaksanakan pada Bulan Agustus - Desember</t>
  </si>
  <si>
    <t>Vitamin dan obat-obatan</t>
  </si>
  <si>
    <t>26/SPK.BD/VII/Diskan/2017              6 Juli 2017</t>
  </si>
  <si>
    <t>11974/SP2D/LS/2017             5 Desember 2017</t>
  </si>
  <si>
    <t>11978/SP2D/LS/2017              5 Desember 2017</t>
  </si>
  <si>
    <t>11973/SP2D/LS/2017              5 Desember 2017</t>
  </si>
  <si>
    <t>11977/SP2D/LS/2017              5 Desember 2017</t>
  </si>
  <si>
    <t>11975/SP2D/LS/2017              5 Desember 2017</t>
  </si>
  <si>
    <t>10718/SP2D/LS/2017              30 Nopember 2017</t>
  </si>
  <si>
    <t>11976/SP2D/LS/2017              5 Desember 2017</t>
  </si>
  <si>
    <t>17/SPK.BD/VI/Diskan/2017               16 Juni 2017</t>
  </si>
  <si>
    <t>5/SPK.BD/V/Diskan/2017                  19 Mei 2017</t>
  </si>
  <si>
    <t>22/SPK.BD/VII/Diskan/2017                   3 Juli 2017</t>
  </si>
  <si>
    <t>KONTRAKTUAL /                E-KATALOG</t>
  </si>
  <si>
    <t>027/II/I/VII/PPBJ/Diskan                   11 Juli 2017</t>
  </si>
  <si>
    <t>31/SPK.BD/VII/Diskan/2017                       17 Juli 2017</t>
  </si>
  <si>
    <t>07770/SP2D/LS/2017                        17 Oktober 2017</t>
  </si>
  <si>
    <t>34/SPK.BD/VII/Diskan/2017                         20 Juli 2017</t>
  </si>
  <si>
    <t>08703/SP2D/LS/2017                   6 Nopember 2017</t>
  </si>
  <si>
    <t>25/SPK.BD/VII/Diskan/2017                            6 Juli 2017</t>
  </si>
  <si>
    <t>26/SPK.BD/VII/Diskan/2017                               6 Juli 2017</t>
  </si>
  <si>
    <t>9/SPK.BD/VI/Diskan/2017                      7 Juni 2017</t>
  </si>
  <si>
    <t>027/21/1/VI/PPB/Diskan/2017                 21 Juni 2017</t>
  </si>
  <si>
    <t>12/SPK.BD/VI/Diskan/2017                      15 Juni 2017</t>
  </si>
  <si>
    <t>6/SPK.BD/V/Diskan/2017                      22 Mei 2017</t>
  </si>
  <si>
    <t>16/SPK.BD/VI/Diskan/2017                         19 Juni 2017</t>
  </si>
  <si>
    <t>15/SPK.BD/VI/Diskan/2017                   19 Juni 2017</t>
  </si>
  <si>
    <t>13/SPK.BD/VI/Diskan/2017                      15 Juni 2017</t>
  </si>
  <si>
    <t>14/SPK.BD/VI/Diskan/2017                        15 Juni 2017</t>
  </si>
  <si>
    <t>7/SPK.BD/V/Diskan/2017                          26 Mei 2017</t>
  </si>
  <si>
    <t>12075/SP2D/LS/2017              6 Desember 2017</t>
  </si>
  <si>
    <t>CV. Summar Jaya</t>
  </si>
  <si>
    <t xml:space="preserve">              /SP2D/LS/2017, tanggal   Desember 2017</t>
  </si>
  <si>
    <t>00111/SPP/LS/Diskan/2017, tanggal 7 Desember 2017</t>
  </si>
  <si>
    <t>Hibah belanja Kolam Bioflox, Kolam Tampung dan Kolam Pembuangan</t>
  </si>
  <si>
    <t>00111/SPM/LS/Diskan/2017, tanggal   Desember 2017</t>
  </si>
  <si>
    <t>00113/SPP/LS/Diskan/2017, tanggal 11 Desember 2017</t>
  </si>
  <si>
    <t>00113/SPP/LS/Diskan/2017, tanggal   Desember 2017</t>
  </si>
  <si>
    <t>CV. SUMMAR JAYA</t>
  </si>
  <si>
    <t xml:space="preserve">      /SP2D/LS/2017                                                Desember 2017</t>
  </si>
  <si>
    <t>Kolam Bioflox</t>
  </si>
  <si>
    <t>Hibah belanja Bibit Ikan Patin, Ikan lele, Benih Udang dan benih ikan nila</t>
  </si>
  <si>
    <t>46/SPK.BD/XI/Diskan/2017                      15 Nopember 2017</t>
  </si>
  <si>
    <t>Belanja Bibit Ikan Patin, Ikan lele, Benih Udang dan benih ikan nila</t>
  </si>
  <si>
    <t>Per Tanggal 14 Desember 2017</t>
  </si>
  <si>
    <t>KONTRAKTUAL/  SURAT PESANAN</t>
  </si>
  <si>
    <t>KONTRAKTUAL /  SURAT PESANAN</t>
  </si>
  <si>
    <t>JUMLAH REALISASI TAHAP I + II + III</t>
  </si>
  <si>
    <t>Dana Dak</t>
  </si>
  <si>
    <t>TW I (30 %)</t>
  </si>
  <si>
    <t>TW II (25 %)</t>
  </si>
  <si>
    <t>TW III (25 %)</t>
  </si>
  <si>
    <t>TW IV (Sisa)</t>
  </si>
  <si>
    <t>RENCANA DANA TRANSFER/PENYERAPAN DANA DAK SESUAI PMK 50/2017</t>
  </si>
  <si>
    <t>I</t>
  </si>
  <si>
    <t>II</t>
  </si>
  <si>
    <t>III</t>
  </si>
  <si>
    <t>IV</t>
  </si>
  <si>
    <t>II. Pengembangan Perikanan Tangkap (Pak Wirta)</t>
  </si>
  <si>
    <t>TW III (25)</t>
  </si>
  <si>
    <t>RENCANA PENYALURAN DANA DAK DINAS PERIKANAN</t>
  </si>
  <si>
    <t>Perjadin Dalam Daerah</t>
  </si>
  <si>
    <t>Alat Tulis Kantor</t>
  </si>
  <si>
    <t>Pengadaan Peralatan</t>
  </si>
  <si>
    <t>Perikanan</t>
  </si>
  <si>
    <t>Barang</t>
  </si>
  <si>
    <t>1 paket</t>
  </si>
  <si>
    <t>Lain-lain</t>
  </si>
  <si>
    <t>12 Paket</t>
  </si>
  <si>
    <t>Konstruksi</t>
  </si>
  <si>
    <t>1 Unit</t>
  </si>
  <si>
    <t>12 Unit</t>
  </si>
  <si>
    <t>10 Paket</t>
  </si>
  <si>
    <t>Pakan, Vitamin dan Obat</t>
  </si>
  <si>
    <t>obatan</t>
  </si>
  <si>
    <t>`</t>
  </si>
  <si>
    <t>Kolam Patin</t>
  </si>
  <si>
    <t xml:space="preserve">Jasa </t>
  </si>
  <si>
    <t>Jasa</t>
  </si>
  <si>
    <t>4 Paket</t>
  </si>
  <si>
    <t>Bulan Januari SPK nya Januari</t>
  </si>
  <si>
    <t>Subikshu</t>
  </si>
  <si>
    <t>KASTIKA</t>
  </si>
  <si>
    <t>E-KATALOG</t>
  </si>
  <si>
    <t>SISA</t>
  </si>
  <si>
    <t>Penyaluran</t>
  </si>
  <si>
    <t>ANGGARAN</t>
  </si>
  <si>
    <t>SERAPAN (%)</t>
  </si>
  <si>
    <t>Terkait pembayaran TW II dan TW IV masih dikonsultasikan</t>
  </si>
  <si>
    <t>LELANG SEDERHANA</t>
  </si>
  <si>
    <t>Jukung</t>
  </si>
  <si>
    <t>Alat Penangkapan dan Alat bantu</t>
  </si>
  <si>
    <t>TW IV (SISA)</t>
  </si>
  <si>
    <t>RENCANA REALISASI DAK DINAS PERIKANAN KABUPATEN BULELENG 2018</t>
  </si>
  <si>
    <t>BAYAR PERALATAN DAN DP 30% KAPAL</t>
  </si>
  <si>
    <t xml:space="preserve">Februari </t>
  </si>
  <si>
    <t>Pelaksanaan Lelang</t>
  </si>
  <si>
    <t xml:space="preserve">Lamanya Kontrak </t>
  </si>
  <si>
    <t>3 bulan</t>
  </si>
  <si>
    <t>Proses Lelang</t>
  </si>
  <si>
    <t>SPK</t>
  </si>
  <si>
    <t>20-25 April</t>
  </si>
  <si>
    <t>45 hari s/d April</t>
  </si>
  <si>
    <t>Rencana Realisasi Tahap ke-</t>
  </si>
  <si>
    <t>I (Maret-Juli)</t>
  </si>
  <si>
    <t>II (Agustus-Oktober)</t>
  </si>
  <si>
    <t>III (Oktober-Desember)</t>
  </si>
  <si>
    <t>TW II (45 %)</t>
  </si>
  <si>
    <t>TW III (30 %)</t>
  </si>
  <si>
    <t>TW I (25 %)</t>
  </si>
  <si>
    <t>Konstruksi (CV. Ari Wirayuda)</t>
  </si>
  <si>
    <t>Konstruksi (CV. Summar Jaya)</t>
  </si>
  <si>
    <t>Konstruksi (CV. Dwitya Paramitha)</t>
  </si>
  <si>
    <t>Jasa (CV. Manar Jaya)</t>
  </si>
  <si>
    <t>Konstruksi (CV. Astika Dwi Karya)</t>
  </si>
  <si>
    <t>patin</t>
  </si>
  <si>
    <t>lele</t>
  </si>
  <si>
    <t>Barang (UD. Laksana Mulya)</t>
  </si>
  <si>
    <t>Barang (UD. Karunia Semesta)</t>
  </si>
  <si>
    <t>nila</t>
  </si>
  <si>
    <t>Barang (CV. Summar Jaya)</t>
  </si>
  <si>
    <t>Barang (CV. Dwitya Paramitha)</t>
  </si>
  <si>
    <t>03901/SP2D/LS/2018</t>
  </si>
  <si>
    <t>04059/SP2D/LS/2018</t>
  </si>
  <si>
    <t>04098/SP2D/LS/2018</t>
  </si>
  <si>
    <t>04341/SP2D/LS/2018</t>
  </si>
  <si>
    <t>04383/SP2D/LS/2018</t>
  </si>
  <si>
    <t>04030/SP2D/LS/2018</t>
  </si>
  <si>
    <t>03953/SP2D/LS/2018</t>
  </si>
  <si>
    <t>03915/SP2D/LS/2018</t>
  </si>
  <si>
    <t>03325/SP2D/LS/2018</t>
  </si>
  <si>
    <t>03806/SP2D/LS/2018</t>
  </si>
  <si>
    <t>03326/SP2D/LS/2018</t>
  </si>
  <si>
    <t>03327/SP2D/LS/2018</t>
  </si>
  <si>
    <t>04243/SP2D/LS/2018</t>
  </si>
  <si>
    <t>04245/SP2D/LS/2018</t>
  </si>
  <si>
    <t>04242/SP2D/LS/2018</t>
  </si>
  <si>
    <t>04246/SP2D/LS/2018</t>
  </si>
  <si>
    <t>04241/SP2D/LS/2018</t>
  </si>
  <si>
    <t>04373/SP2D/LS/2018</t>
  </si>
  <si>
    <t>04247/SP2D/LS/2018</t>
  </si>
  <si>
    <t>04244/SP2D/LS/2018</t>
  </si>
  <si>
    <t>04528/SP2D/LS/2018</t>
  </si>
  <si>
    <t>04529/SP2D/LS/2018</t>
  </si>
  <si>
    <t>04375/SP2D/LS/2018</t>
  </si>
  <si>
    <t>04374/SP2D/LS/2018</t>
  </si>
  <si>
    <t>04376/SP2D/LS/2018</t>
  </si>
  <si>
    <t>04377/SP2D/LS/2018</t>
  </si>
  <si>
    <t>04378/SP2D/LS/2018</t>
  </si>
  <si>
    <t>05247/SP2D/LS/2018</t>
  </si>
  <si>
    <t>05373/SP2D/LS/2018</t>
  </si>
  <si>
    <t>05372/SP2D/LS/2018</t>
  </si>
  <si>
    <t>05371/SP2D/LS/2018</t>
  </si>
  <si>
    <t>05370/SP2D/LS/2018</t>
  </si>
  <si>
    <t>05376/SP2D/LS/2018</t>
  </si>
  <si>
    <t>05375/SP2D/LS/2018</t>
  </si>
  <si>
    <t>05374/SP2D/LS/2018</t>
  </si>
  <si>
    <t>05466/SP2D/LS/2018</t>
  </si>
  <si>
    <t>05465/SP2D/LS/2018</t>
  </si>
  <si>
    <t>Fisik</t>
  </si>
  <si>
    <t>Penunjang</t>
  </si>
  <si>
    <t>Penunjukan Langsung</t>
  </si>
  <si>
    <t>Swakelola</t>
  </si>
  <si>
    <t>Pengadaan Langsung</t>
  </si>
  <si>
    <t>Lelang</t>
  </si>
  <si>
    <t>sudiasa</t>
  </si>
  <si>
    <t>wirta</t>
  </si>
  <si>
    <t>sisa utk tahap 3</t>
  </si>
  <si>
    <t>07082/SP2D/LS/2018</t>
  </si>
  <si>
    <t>07719/SP2D/LS/2018</t>
  </si>
  <si>
    <t>07562/SP2D/LS/2018</t>
  </si>
  <si>
    <t>07767/SP2D/LS/2018</t>
  </si>
  <si>
    <t>07561/SP2D/LS/2018</t>
  </si>
  <si>
    <t>SP2D</t>
  </si>
  <si>
    <t>07965/SP2D/LS/2018</t>
  </si>
  <si>
    <t>23/SPK/PROD/VII/DISKAN/2018</t>
  </si>
  <si>
    <t>4/SPK.Prod/II/Diskan/2018</t>
  </si>
  <si>
    <t>8/SPK.PROD/III/DISKAN/2018</t>
  </si>
  <si>
    <t>9/SPK.Prod/III/Diskan/2018</t>
  </si>
  <si>
    <t>16/SPK.BD/VI/DISKAN/2018</t>
  </si>
  <si>
    <t>6/SPK.PROD/Diskan/2018</t>
  </si>
  <si>
    <t>02/KPN/FEBR/2018</t>
  </si>
  <si>
    <t>7/SPK.PROD/III/DISKAN/2018</t>
  </si>
  <si>
    <t>11/SPK.Prod/III/Diskan/2018</t>
  </si>
  <si>
    <t>13/SPK.PROD/III/DISKAN/2018</t>
  </si>
  <si>
    <t>20/SPK.Prod/VII/DISKAN/2018</t>
  </si>
  <si>
    <t>22/SPK.Prod/VII/DISKAN/2018</t>
  </si>
  <si>
    <t>08254/SP2D/LS/2018</t>
  </si>
  <si>
    <t>08255/SP2D/LS/2018</t>
  </si>
  <si>
    <t>08256/SP2D/LS/2018</t>
  </si>
  <si>
    <t>08257/SP2D/LS/2018</t>
  </si>
  <si>
    <t>RENCANA PENYALURAN DANA DAK DINAS PERIKANAN 2019</t>
  </si>
  <si>
    <t>II. Pengembangan Bibit Unggul Ikan Air Tawar ( Pak Darmayasa)</t>
  </si>
  <si>
    <t>III. Pengembangan Perikanan Tangkap (Pak Wirta)</t>
  </si>
  <si>
    <t>Pakan ikan</t>
  </si>
  <si>
    <t>I (Peb-Juli)</t>
  </si>
  <si>
    <t>II (April-Oktober)</t>
  </si>
  <si>
    <t>Tahap I (25 %)</t>
  </si>
  <si>
    <t>Tahap II (45 %)</t>
  </si>
  <si>
    <t>Tahap III (30 %)</t>
  </si>
  <si>
    <t>RENCANA REALISASI DAK DINAS PERIKANAN KABUPATEN BULELENG 2019</t>
  </si>
  <si>
    <t>Nilai Kontrak/SP2D (Rp)</t>
  </si>
  <si>
    <t>Metode Pengadaan Barang/Jasa</t>
  </si>
  <si>
    <t>Jenis Pekerjaan</t>
  </si>
  <si>
    <t>Rincian Paket Pekerjaan</t>
  </si>
  <si>
    <t>Pengadaan langsung</t>
  </si>
  <si>
    <t>Rehabilitasi saluran air buang (keluar)</t>
  </si>
  <si>
    <t xml:space="preserve">Konsultan perencanaan Rehabilitasi saluran air  buang (keluar) </t>
  </si>
  <si>
    <t>Konsultan Perencanaan Kolam Patin</t>
  </si>
  <si>
    <t>Konsultan Pengawasan Kolam Patin</t>
  </si>
  <si>
    <t>JUMLAH 1</t>
  </si>
  <si>
    <t>JUMLAH 2</t>
  </si>
  <si>
    <t>JUMLAH 3</t>
  </si>
  <si>
    <t>JUMLAH TOTAL (1+2+3)</t>
  </si>
  <si>
    <t>Paket Pemijahan Buatan</t>
  </si>
  <si>
    <t>Penyediaan calon induk unggul beserta pakan calon induk unggul</t>
  </si>
  <si>
    <t>Konsultan pengawasan Rehabilitasi saluran air  buang (keluar)</t>
  </si>
  <si>
    <t>Perdin Dalam Daerah</t>
  </si>
  <si>
    <t>Lelang cepat</t>
  </si>
  <si>
    <t>Lelang umum</t>
  </si>
  <si>
    <t>Pengadaan Peralatan Perikanan</t>
  </si>
  <si>
    <t>9 Paket</t>
  </si>
  <si>
    <t>1 Paket</t>
  </si>
  <si>
    <t>2 Paket</t>
  </si>
  <si>
    <t>5 Paket</t>
  </si>
  <si>
    <t>28 Meter</t>
  </si>
  <si>
    <t>- Jukung, Mesin, Alat tangkap, Alat Bantu Tangkap</t>
  </si>
  <si>
    <t xml:space="preserve">Maret :  </t>
  </si>
  <si>
    <t xml:space="preserve">September : </t>
  </si>
  <si>
    <t xml:space="preserve">Oktober : </t>
  </si>
  <si>
    <t>- Perdin Dalam Daerah</t>
  </si>
  <si>
    <t>Rehab saluran air buang (keluar)</t>
  </si>
  <si>
    <t>(Jan, Apr, Juli, Agust, Okt)</t>
  </si>
  <si>
    <t>Konsultan perencanaan</t>
  </si>
  <si>
    <t xml:space="preserve">Konsultan pengawasan </t>
  </si>
  <si>
    <t>(April)</t>
  </si>
  <si>
    <t>- Pengadaan calon induk unggul</t>
  </si>
  <si>
    <t xml:space="preserve">- Pakan calon induk unggul : </t>
  </si>
  <si>
    <t>(Maret)</t>
  </si>
  <si>
    <t>(September)</t>
  </si>
  <si>
    <t>(Oktober)</t>
  </si>
  <si>
    <t>- Paket pemijahan buatan</t>
  </si>
  <si>
    <t>(Januari)</t>
  </si>
  <si>
    <t>(Peb, Juni, Sept, Okt)</t>
  </si>
  <si>
    <t>(Peb, Apr, Juni, Juli, Sept, Okt, Nop)</t>
  </si>
  <si>
    <t>(Juli)</t>
  </si>
  <si>
    <t>5000 ekor</t>
  </si>
  <si>
    <t>420 Kg</t>
  </si>
  <si>
    <t>ANGGARAN KAS DPA :</t>
  </si>
  <si>
    <t>9 Unit</t>
  </si>
  <si>
    <t>PENYALURAN</t>
  </si>
  <si>
    <t>SISA SERAPAN</t>
  </si>
  <si>
    <t>T2</t>
  </si>
  <si>
    <t>T3</t>
  </si>
  <si>
    <t>Kontrak</t>
  </si>
  <si>
    <t>No.</t>
  </si>
  <si>
    <t>Pelaksanaan kegiatan</t>
  </si>
  <si>
    <t xml:space="preserve">Kendala </t>
  </si>
  <si>
    <t xml:space="preserve">Upaya </t>
  </si>
  <si>
    <t>Tahap</t>
  </si>
  <si>
    <t>pelaksanaan</t>
  </si>
  <si>
    <t>pemecahan</t>
  </si>
  <si>
    <t>Satuan</t>
  </si>
  <si>
    <t>Pelaksana</t>
  </si>
  <si>
    <t>Kontrak/Dokumen</t>
  </si>
  <si>
    <t>Transfer DAK</t>
  </si>
  <si>
    <t>Tgl SP2D</t>
  </si>
  <si>
    <t>Nilai SP2D</t>
  </si>
  <si>
    <t>kegiatan</t>
  </si>
  <si>
    <t>(hari)</t>
  </si>
  <si>
    <t>%</t>
  </si>
  <si>
    <t>A</t>
  </si>
  <si>
    <t>Program Pengembangan</t>
  </si>
  <si>
    <t>Budidaya Perikanan</t>
  </si>
  <si>
    <t>Pengembangan Sarana dan Prasarana</t>
  </si>
  <si>
    <t>Perikanan Budidaya</t>
  </si>
  <si>
    <t>unit</t>
  </si>
  <si>
    <t>V</t>
  </si>
  <si>
    <t>Tahap 1</t>
  </si>
  <si>
    <t>CV. Dwitya Paramitha</t>
  </si>
  <si>
    <t>paket</t>
  </si>
  <si>
    <t>CV. Manar Jaya</t>
  </si>
  <si>
    <t>tahun</t>
  </si>
  <si>
    <t>Tahap 2</t>
  </si>
  <si>
    <t>B</t>
  </si>
  <si>
    <t>Perikanan Tangkap</t>
  </si>
  <si>
    <t xml:space="preserve">Pengembangan Sarana dan Prasarana </t>
  </si>
  <si>
    <t>TAHUN ANGGARAN 2020</t>
  </si>
  <si>
    <t>Pakan Ikan</t>
  </si>
  <si>
    <t>Peralatan Perikanan, Vitamin, Obat-obatan ikan dan Probiotik</t>
  </si>
  <si>
    <t>Belanja makanan dan minuman</t>
  </si>
  <si>
    <t>Pengadaan Peralatan Perikanan Tangkap</t>
  </si>
  <si>
    <t>Pengadaan Mesin Tempel 20 PK</t>
  </si>
  <si>
    <t>CV. Triton Trisula</t>
  </si>
  <si>
    <t>027/23/47/VII/PPK-Prod/DKPP/2020</t>
  </si>
  <si>
    <t>1.02.03/02/915/151/DPPA/2020</t>
  </si>
  <si>
    <t>Bibit ikan dan induk /calon induk ikan hias</t>
  </si>
  <si>
    <t>027/10/52/VIII/PPK-Prod/DKPP/2020</t>
  </si>
  <si>
    <t>Jenis Kegiatan</t>
  </si>
  <si>
    <t>Perencanaan Kegiatan</t>
  </si>
  <si>
    <t>(Rp)</t>
  </si>
  <si>
    <t xml:space="preserve">Realisasi </t>
  </si>
  <si>
    <t>Tgl Akhir</t>
  </si>
  <si>
    <t>Tgl Mulai</t>
  </si>
  <si>
    <t>Pekerjaan</t>
  </si>
  <si>
    <t>Jangka Waktu</t>
  </si>
  <si>
    <t>Persiapan Kolam Ikan</t>
  </si>
  <si>
    <t xml:space="preserve">Keuangan </t>
  </si>
  <si>
    <t>CV. Sarana Global Raya</t>
  </si>
  <si>
    <t>Kasi Perikanan Budidaya</t>
  </si>
  <si>
    <t>Kasi Perikanan Tangkap &amp; Pengelolaan Pesisir</t>
  </si>
  <si>
    <t>027/11/62/VIII/PPK-Prod/DKPP/2020</t>
  </si>
  <si>
    <t>027/11/65/VIII/PPK-Prod/DKPP/2020</t>
  </si>
  <si>
    <t>027/18/78/VIII/PPK-Prod/DKPP/2020</t>
  </si>
  <si>
    <t>027/19/79/VIII/PPK-Prod/DKPP/2020</t>
  </si>
  <si>
    <t>027/18/1247/VIII/PPBJ/Prod/DKPP/2020</t>
  </si>
  <si>
    <t>027/14/71/VIII/PPK-Prod/DKPP/2020</t>
  </si>
  <si>
    <t>Nilai Kontrak/</t>
  </si>
  <si>
    <t>LAPORAN PROGRES PELAKSANAAN KEGIATAN FISIK (SUMBER DANA DAK)</t>
  </si>
  <si>
    <t xml:space="preserve">Pelaksanaan </t>
  </si>
  <si>
    <t>(Hari kalender)</t>
  </si>
  <si>
    <t>Pelaksanaan Kegiatan</t>
  </si>
  <si>
    <t>Kepala Dinas Ketahanan Pangan dan Perikanan</t>
  </si>
  <si>
    <t>Kabupaten Buleleng</t>
  </si>
  <si>
    <t>Gede Melandrat, SP</t>
  </si>
  <si>
    <t>Pembina IV/a</t>
  </si>
  <si>
    <t>NIP. 19720712 199803 1 010</t>
  </si>
  <si>
    <t xml:space="preserve">Sumber </t>
  </si>
  <si>
    <t>Dana</t>
  </si>
  <si>
    <t xml:space="preserve">Progres </t>
  </si>
  <si>
    <t>(%)</t>
  </si>
  <si>
    <t>06786/SP2D/LS/2020</t>
  </si>
  <si>
    <t>06683/SP2D/LS/2020</t>
  </si>
  <si>
    <t>06819/SP2D/LS/2020</t>
  </si>
  <si>
    <t>06813/SP2D/LS/2020</t>
  </si>
  <si>
    <t>06814/SP2D/LS/2020</t>
  </si>
  <si>
    <t>06575/SP2D/LS/2020</t>
  </si>
  <si>
    <t>07241/SP2D/LS/2020</t>
  </si>
  <si>
    <t>07323/SP2D/LS/2020</t>
  </si>
  <si>
    <t>07860/SP2D/LS/2020</t>
  </si>
  <si>
    <t>07755/SP2D/LS/2020</t>
  </si>
  <si>
    <t>07756/SP2D/LS/2020</t>
  </si>
  <si>
    <t>07757/SP2D/LS/2020</t>
  </si>
  <si>
    <t xml:space="preserve">Waktu </t>
  </si>
  <si>
    <t>Penyerapan</t>
  </si>
  <si>
    <t>Minggu pertama Nopember</t>
  </si>
  <si>
    <t>Sudah Pengajuan Pembayaran</t>
  </si>
  <si>
    <t>08254/SP2D/LS/2020</t>
  </si>
  <si>
    <t>08565/SP2D/LS/2020</t>
  </si>
  <si>
    <t>08735/SP2D/LS/2020</t>
  </si>
  <si>
    <t>08734/SP2D/LS/2020</t>
  </si>
  <si>
    <t>08752/SP2D/LS/2020</t>
  </si>
  <si>
    <t>08770/SP2D/LS/2020</t>
  </si>
  <si>
    <t>08780/SP2D/LS/2020</t>
  </si>
  <si>
    <t>09002/SP2D/LS/2020</t>
  </si>
  <si>
    <t>PER : 3 Desember 2020</t>
  </si>
  <si>
    <t>Singaraja, 3 Desember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</si>
</sst>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(* #,##0_);_(* \(#,##0\);_(* &quot;-&quot;_);_(@_)"/>
    <numFmt numFmtId="43" formatCode="_(* #,##0.00_);_(* \(#,##0.00\);_(* &quot;-&quot;??_);_(@_)"/>
    <numFmt numFmtId="164" formatCode="_(&quot;Rp&quot;* #,##0_);_(&quot;Rp&quot;* \(#,##0\);_(&quot;Rp&quot;* &quot;-&quot;_);_(@_)"/>
    <numFmt numFmtId="165" formatCode="_([$Rp-421]* #,##0.00_);_([$Rp-421]* \(#,##0.00\);_([$Rp-421]* &quot;-&quot;??_);_(@_)"/>
    <numFmt numFmtId="166" formatCode="_([$Rp-421]* #,##0_);_([$Rp-421]* \(#,##0\);_([$Rp-421]* &quot;-&quot;_);_(@_)"/>
    <numFmt numFmtId="167" formatCode="_([$Rp-421]* #,##0_);_([$Rp-421]* \(#,##0\);_([$Rp-421]* &quot;-&quot;??_);_(@_)"/>
    <numFmt numFmtId="168" formatCode="_(&quot;Rp&quot;* #,##0.00_);_(&quot;Rp&quot;* \(#,##0.00\);_(&quot;Rp&quot;* &quot;-&quot;_);_(@_)"/>
    <numFmt numFmtId="169" formatCode="#,##0.00000000"/>
    <numFmt numFmtId="170" formatCode="#,##0;[Red]#,##0"/>
    <numFmt numFmtId="171" formatCode="_(* #,##0_);_(* \(#,##0\);_(* &quot;-&quot;??_);_(@_)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2"/>
      <color rgb="FFFF0000"/>
      <name val="Times New Roman"/>
      <family val="1"/>
    </font>
    <font>
      <b/>
      <i/>
      <sz val="12"/>
      <name val="Times New Roman"/>
      <family val="1"/>
    </font>
    <font>
      <sz val="12"/>
      <color theme="1"/>
      <name val="Times New Roman"/>
      <family val="1"/>
    </font>
    <font>
      <i/>
      <sz val="12"/>
      <name val="Times New Roman"/>
      <family val="1"/>
    </font>
    <font>
      <b/>
      <u/>
      <sz val="12"/>
      <name val="Times New Roman"/>
      <family val="1"/>
    </font>
    <font>
      <sz val="12"/>
      <color rgb="FFFF000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</fills>
  <borders count="5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thin">
        <color indexed="64"/>
      </left>
      <right/>
      <top/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5">
    <xf numFmtId="0" fontId="0" fillId="0" borderId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6" fillId="0" borderId="0"/>
    <xf numFmtId="43" fontId="17" fillId="0" borderId="0" applyFont="0" applyFill="0" applyBorder="0" applyAlignment="0" applyProtection="0"/>
  </cellStyleXfs>
  <cellXfs count="547">
    <xf numFmtId="0" fontId="0" fillId="0" borderId="0" xfId="0"/>
    <xf numFmtId="0" fontId="0" fillId="0" borderId="0" xfId="0" applyFill="1"/>
    <xf numFmtId="0" fontId="2" fillId="0" borderId="3" xfId="0" applyFont="1" applyFill="1" applyBorder="1" applyAlignment="1">
      <alignment horizontal="center"/>
    </xf>
    <xf numFmtId="0" fontId="5" fillId="0" borderId="3" xfId="0" quotePrefix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164" fontId="6" fillId="0" borderId="4" xfId="1" applyNumberFormat="1" applyFont="1" applyFill="1" applyBorder="1" applyAlignment="1">
      <alignment vertical="center"/>
    </xf>
    <xf numFmtId="0" fontId="6" fillId="0" borderId="5" xfId="0" applyFont="1" applyFill="1" applyBorder="1" applyAlignment="1">
      <alignment horizontal="center" vertical="center"/>
    </xf>
    <xf numFmtId="164" fontId="6" fillId="0" borderId="5" xfId="1" applyNumberFormat="1" applyFont="1" applyFill="1" applyBorder="1" applyAlignment="1">
      <alignment vertical="center"/>
    </xf>
    <xf numFmtId="164" fontId="7" fillId="0" borderId="5" xfId="1" applyNumberFormat="1" applyFont="1" applyFill="1" applyBorder="1" applyAlignment="1">
      <alignment vertical="center"/>
    </xf>
    <xf numFmtId="0" fontId="6" fillId="0" borderId="7" xfId="0" applyFont="1" applyFill="1" applyBorder="1" applyAlignment="1">
      <alignment horizontal="center" vertical="center"/>
    </xf>
    <xf numFmtId="164" fontId="7" fillId="0" borderId="4" xfId="1" applyNumberFormat="1" applyFont="1" applyFill="1" applyBorder="1" applyAlignment="1">
      <alignment vertical="center"/>
    </xf>
    <xf numFmtId="10" fontId="6" fillId="0" borderId="5" xfId="1" applyNumberFormat="1" applyFont="1" applyFill="1" applyBorder="1" applyAlignment="1">
      <alignment horizontal="center" vertical="center"/>
    </xf>
    <xf numFmtId="0" fontId="0" fillId="0" borderId="8" xfId="0" applyFill="1" applyBorder="1"/>
    <xf numFmtId="0" fontId="0" fillId="0" borderId="9" xfId="0" applyFill="1" applyBorder="1"/>
    <xf numFmtId="0" fontId="0" fillId="0" borderId="10" xfId="0" applyFill="1" applyBorder="1"/>
    <xf numFmtId="0" fontId="0" fillId="0" borderId="15" xfId="0" applyFill="1" applyBorder="1"/>
    <xf numFmtId="0" fontId="0" fillId="0" borderId="14" xfId="0" applyFill="1" applyBorder="1"/>
    <xf numFmtId="0" fontId="0" fillId="0" borderId="0" xfId="0" applyFill="1" applyBorder="1"/>
    <xf numFmtId="0" fontId="0" fillId="0" borderId="11" xfId="0" applyFill="1" applyBorder="1"/>
    <xf numFmtId="0" fontId="0" fillId="0" borderId="12" xfId="0" applyFill="1" applyBorder="1"/>
    <xf numFmtId="0" fontId="0" fillId="0" borderId="13" xfId="0" applyFill="1" applyBorder="1"/>
    <xf numFmtId="0" fontId="0" fillId="0" borderId="1" xfId="0" applyFill="1" applyBorder="1"/>
    <xf numFmtId="0" fontId="0" fillId="0" borderId="6" xfId="0" applyFill="1" applyBorder="1" applyAlignment="1">
      <alignment horizontal="center" vertical="center"/>
    </xf>
    <xf numFmtId="0" fontId="0" fillId="0" borderId="6" xfId="0" applyFill="1" applyBorder="1"/>
    <xf numFmtId="0" fontId="0" fillId="0" borderId="2" xfId="0" applyFill="1" applyBorder="1"/>
    <xf numFmtId="0" fontId="2" fillId="0" borderId="16" xfId="0" applyFont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6" xfId="0" applyBorder="1" applyAlignment="1">
      <alignment horizontal="left" vertical="center" wrapText="1"/>
    </xf>
    <xf numFmtId="0" fontId="0" fillId="0" borderId="16" xfId="0" applyBorder="1"/>
    <xf numFmtId="0" fontId="0" fillId="0" borderId="0" xfId="0" applyAlignment="1">
      <alignment horizontal="center" vertical="center" wrapText="1"/>
    </xf>
    <xf numFmtId="41" fontId="0" fillId="0" borderId="0" xfId="1" applyFont="1"/>
    <xf numFmtId="0" fontId="2" fillId="0" borderId="16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165" fontId="0" fillId="0" borderId="16" xfId="0" applyNumberFormat="1" applyBorder="1" applyAlignment="1">
      <alignment horizontal="center" vertical="center" wrapText="1"/>
    </xf>
    <xf numFmtId="165" fontId="2" fillId="0" borderId="16" xfId="0" applyNumberFormat="1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6" xfId="0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/>
    </xf>
    <xf numFmtId="164" fontId="6" fillId="0" borderId="20" xfId="1" applyNumberFormat="1" applyFont="1" applyFill="1" applyBorder="1" applyAlignment="1">
      <alignment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vertical="center"/>
    </xf>
    <xf numFmtId="164" fontId="6" fillId="0" borderId="7" xfId="1" applyNumberFormat="1" applyFont="1" applyFill="1" applyBorder="1" applyAlignment="1">
      <alignment vertical="center"/>
    </xf>
    <xf numFmtId="0" fontId="10" fillId="0" borderId="17" xfId="0" applyFont="1" applyFill="1" applyBorder="1" applyAlignment="1">
      <alignment vertical="center"/>
    </xf>
    <xf numFmtId="0" fontId="10" fillId="0" borderId="18" xfId="0" applyFont="1" applyFill="1" applyBorder="1" applyAlignment="1">
      <alignment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vertical="center"/>
    </xf>
    <xf numFmtId="164" fontId="6" fillId="0" borderId="6" xfId="1" applyNumberFormat="1" applyFont="1" applyFill="1" applyBorder="1" applyAlignment="1">
      <alignment vertical="center"/>
    </xf>
    <xf numFmtId="164" fontId="4" fillId="0" borderId="0" xfId="1" applyNumberFormat="1" applyFont="1" applyFill="1" applyBorder="1" applyAlignment="1">
      <alignment horizontal="center" vertical="center"/>
    </xf>
    <xf numFmtId="164" fontId="8" fillId="0" borderId="0" xfId="1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5" xfId="0" applyFill="1" applyBorder="1" applyAlignment="1">
      <alignment vertical="center"/>
    </xf>
    <xf numFmtId="0" fontId="0" fillId="0" borderId="20" xfId="0" applyFill="1" applyBorder="1" applyAlignment="1">
      <alignment vertical="center"/>
    </xf>
    <xf numFmtId="0" fontId="0" fillId="0" borderId="6" xfId="0" applyFill="1" applyBorder="1" applyAlignment="1">
      <alignment vertical="center"/>
    </xf>
    <xf numFmtId="164" fontId="0" fillId="0" borderId="0" xfId="0" applyNumberFormat="1" applyFill="1" applyAlignment="1">
      <alignment vertical="center"/>
    </xf>
    <xf numFmtId="0" fontId="6" fillId="0" borderId="5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vertical="center" wrapText="1"/>
    </xf>
    <xf numFmtId="0" fontId="0" fillId="0" borderId="5" xfId="0" applyFill="1" applyBorder="1" applyAlignment="1">
      <alignment vertical="center" wrapText="1"/>
    </xf>
    <xf numFmtId="0" fontId="10" fillId="0" borderId="0" xfId="0" applyFont="1" applyFill="1" applyBorder="1" applyAlignment="1">
      <alignment horizontal="right" vertical="center"/>
    </xf>
    <xf numFmtId="0" fontId="10" fillId="0" borderId="15" xfId="0" applyFont="1" applyFill="1" applyBorder="1" applyAlignment="1">
      <alignment horizontal="left" vertical="center"/>
    </xf>
    <xf numFmtId="0" fontId="10" fillId="0" borderId="19" xfId="0" applyFont="1" applyFill="1" applyBorder="1" applyAlignment="1">
      <alignment vertical="center"/>
    </xf>
    <xf numFmtId="0" fontId="0" fillId="0" borderId="5" xfId="0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left" vertical="center"/>
    </xf>
    <xf numFmtId="0" fontId="0" fillId="0" borderId="4" xfId="0" applyFill="1" applyBorder="1"/>
    <xf numFmtId="0" fontId="6" fillId="0" borderId="4" xfId="0" applyFont="1" applyFill="1" applyBorder="1" applyAlignment="1">
      <alignment vertical="center"/>
    </xf>
    <xf numFmtId="0" fontId="0" fillId="0" borderId="5" xfId="0" applyFill="1" applyBorder="1"/>
    <xf numFmtId="0" fontId="0" fillId="0" borderId="20" xfId="0" applyFill="1" applyBorder="1"/>
    <xf numFmtId="0" fontId="10" fillId="0" borderId="17" xfId="0" applyFont="1" applyFill="1" applyBorder="1" applyAlignment="1">
      <alignment horizontal="right" vertical="center"/>
    </xf>
    <xf numFmtId="164" fontId="2" fillId="0" borderId="3" xfId="0" applyNumberFormat="1" applyFont="1" applyFill="1" applyBorder="1" applyAlignment="1"/>
    <xf numFmtId="164" fontId="4" fillId="0" borderId="3" xfId="0" applyNumberFormat="1" applyFont="1" applyFill="1" applyBorder="1" applyAlignment="1"/>
    <xf numFmtId="164" fontId="4" fillId="0" borderId="3" xfId="1" applyNumberFormat="1" applyFont="1" applyFill="1" applyBorder="1" applyAlignment="1">
      <alignment vertical="center"/>
    </xf>
    <xf numFmtId="164" fontId="0" fillId="0" borderId="0" xfId="0" applyNumberFormat="1" applyFill="1"/>
    <xf numFmtId="0" fontId="0" fillId="0" borderId="0" xfId="0" applyFont="1" applyFill="1"/>
    <xf numFmtId="164" fontId="4" fillId="0" borderId="18" xfId="0" applyNumberFormat="1" applyFont="1" applyFill="1" applyBorder="1" applyAlignment="1">
      <alignment vertical="center"/>
    </xf>
    <xf numFmtId="164" fontId="0" fillId="0" borderId="0" xfId="0" quotePrefix="1" applyNumberFormat="1" applyFill="1"/>
    <xf numFmtId="164" fontId="11" fillId="0" borderId="0" xfId="0" applyNumberFormat="1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2" fillId="0" borderId="16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0" fillId="0" borderId="4" xfId="0" applyFill="1" applyBorder="1" applyAlignment="1">
      <alignment vertical="center"/>
    </xf>
    <xf numFmtId="0" fontId="6" fillId="0" borderId="28" xfId="0" applyFont="1" applyFill="1" applyBorder="1" applyAlignment="1">
      <alignment horizontal="center" vertical="center"/>
    </xf>
    <xf numFmtId="0" fontId="0" fillId="0" borderId="28" xfId="0" applyBorder="1" applyAlignment="1">
      <alignment horizontal="center" vertical="center" wrapText="1"/>
    </xf>
    <xf numFmtId="164" fontId="6" fillId="0" borderId="28" xfId="1" applyNumberFormat="1" applyFont="1" applyFill="1" applyBorder="1" applyAlignment="1">
      <alignment vertical="center"/>
    </xf>
    <xf numFmtId="0" fontId="6" fillId="0" borderId="28" xfId="0" applyFont="1" applyFill="1" applyBorder="1" applyAlignment="1">
      <alignment vertical="center"/>
    </xf>
    <xf numFmtId="0" fontId="6" fillId="0" borderId="28" xfId="0" applyFont="1" applyFill="1" applyBorder="1" applyAlignment="1">
      <alignment vertical="center" wrapText="1"/>
    </xf>
    <xf numFmtId="0" fontId="6" fillId="0" borderId="28" xfId="0" applyFont="1" applyFill="1" applyBorder="1" applyAlignment="1">
      <alignment horizontal="center" vertical="center" wrapText="1"/>
    </xf>
    <xf numFmtId="0" fontId="0" fillId="0" borderId="28" xfId="0" applyFill="1" applyBorder="1" applyAlignment="1">
      <alignment vertical="center"/>
    </xf>
    <xf numFmtId="0" fontId="6" fillId="3" borderId="28" xfId="0" applyFont="1" applyFill="1" applyBorder="1" applyAlignment="1">
      <alignment horizontal="center" vertical="center" wrapText="1"/>
    </xf>
    <xf numFmtId="165" fontId="0" fillId="0" borderId="0" xfId="0" applyNumberFormat="1"/>
    <xf numFmtId="0" fontId="6" fillId="0" borderId="20" xfId="0" applyFont="1" applyFill="1" applyBorder="1" applyAlignment="1">
      <alignment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9" fillId="0" borderId="28" xfId="0" applyFont="1" applyFill="1" applyBorder="1" applyAlignment="1">
      <alignment vertical="center"/>
    </xf>
    <xf numFmtId="0" fontId="0" fillId="0" borderId="28" xfId="0" applyFont="1" applyFill="1" applyBorder="1" applyAlignment="1">
      <alignment vertical="center"/>
    </xf>
    <xf numFmtId="0" fontId="0" fillId="0" borderId="28" xfId="0" applyFill="1" applyBorder="1" applyAlignment="1">
      <alignment horizontal="center" vertical="center" wrapText="1"/>
    </xf>
    <xf numFmtId="0" fontId="6" fillId="0" borderId="28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vertical="center"/>
    </xf>
    <xf numFmtId="0" fontId="0" fillId="0" borderId="28" xfId="0" applyFill="1" applyBorder="1" applyAlignment="1">
      <alignment vertical="center" wrapText="1"/>
    </xf>
    <xf numFmtId="0" fontId="0" fillId="0" borderId="4" xfId="0" applyFill="1" applyBorder="1" applyAlignment="1">
      <alignment horizontal="left" vertical="center" wrapText="1"/>
    </xf>
    <xf numFmtId="0" fontId="0" fillId="3" borderId="28" xfId="0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164" fontId="10" fillId="0" borderId="2" xfId="1" applyNumberFormat="1" applyFont="1" applyFill="1" applyBorder="1" applyAlignment="1">
      <alignment vertical="center"/>
    </xf>
    <xf numFmtId="0" fontId="6" fillId="0" borderId="20" xfId="0" applyFont="1" applyFill="1" applyBorder="1"/>
    <xf numFmtId="0" fontId="2" fillId="0" borderId="16" xfId="0" applyFont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 wrapText="1"/>
    </xf>
    <xf numFmtId="165" fontId="0" fillId="0" borderId="16" xfId="0" applyNumberForma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/>
    </xf>
    <xf numFmtId="0" fontId="6" fillId="0" borderId="7" xfId="0" applyFont="1" applyFill="1" applyBorder="1" applyAlignment="1">
      <alignment vertical="center"/>
    </xf>
    <xf numFmtId="0" fontId="6" fillId="0" borderId="7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0" fillId="0" borderId="20" xfId="0" applyFill="1" applyBorder="1" applyAlignment="1">
      <alignment vertical="center" wrapText="1"/>
    </xf>
    <xf numFmtId="0" fontId="0" fillId="0" borderId="20" xfId="0" applyFill="1" applyBorder="1" applyAlignment="1">
      <alignment horizontal="center" vertical="center" wrapText="1"/>
    </xf>
    <xf numFmtId="0" fontId="6" fillId="3" borderId="29" xfId="0" applyFont="1" applyFill="1" applyBorder="1" applyAlignment="1">
      <alignment horizontal="center" vertical="center" wrapText="1"/>
    </xf>
    <xf numFmtId="0" fontId="13" fillId="0" borderId="16" xfId="0" applyFont="1" applyBorder="1" applyAlignment="1">
      <alignment horizontal="left" vertical="center" wrapText="1"/>
    </xf>
    <xf numFmtId="0" fontId="6" fillId="0" borderId="5" xfId="0" applyFont="1" applyFill="1" applyBorder="1"/>
    <xf numFmtId="0" fontId="10" fillId="0" borderId="19" xfId="0" applyFont="1" applyFill="1" applyBorder="1" applyAlignment="1">
      <alignment horizontal="left" vertical="center"/>
    </xf>
    <xf numFmtId="0" fontId="14" fillId="0" borderId="0" xfId="0" applyFont="1"/>
    <xf numFmtId="166" fontId="14" fillId="3" borderId="0" xfId="0" applyNumberFormat="1" applyFont="1" applyFill="1"/>
    <xf numFmtId="0" fontId="14" fillId="0" borderId="0" xfId="0" applyFont="1" applyAlignment="1">
      <alignment horizontal="center"/>
    </xf>
    <xf numFmtId="167" fontId="14" fillId="0" borderId="0" xfId="0" applyNumberFormat="1" applyFont="1"/>
    <xf numFmtId="16" fontId="2" fillId="0" borderId="3" xfId="0" applyNumberFormat="1" applyFont="1" applyFill="1" applyBorder="1" applyAlignment="1">
      <alignment horizontal="center"/>
    </xf>
    <xf numFmtId="0" fontId="14" fillId="0" borderId="0" xfId="0" applyFont="1" applyAlignment="1">
      <alignment horizontal="left"/>
    </xf>
    <xf numFmtId="0" fontId="14" fillId="0" borderId="0" xfId="0" applyFont="1" applyFill="1" applyAlignment="1">
      <alignment horizontal="left"/>
    </xf>
    <xf numFmtId="167" fontId="0" fillId="0" borderId="0" xfId="0" applyNumberFormat="1" applyFill="1"/>
    <xf numFmtId="164" fontId="0" fillId="0" borderId="0" xfId="0" applyNumberFormat="1" applyFont="1" applyFill="1"/>
    <xf numFmtId="168" fontId="0" fillId="0" borderId="0" xfId="0" applyNumberFormat="1" applyFill="1"/>
    <xf numFmtId="164" fontId="11" fillId="0" borderId="0" xfId="0" applyNumberFormat="1" applyFont="1" applyFill="1" applyBorder="1" applyAlignment="1">
      <alignment horizontal="right"/>
    </xf>
    <xf numFmtId="2" fontId="0" fillId="0" borderId="0" xfId="0" applyNumberFormat="1" applyFill="1"/>
    <xf numFmtId="0" fontId="2" fillId="0" borderId="0" xfId="0" applyFont="1" applyFill="1" applyAlignment="1">
      <alignment horizontal="center"/>
    </xf>
    <xf numFmtId="164" fontId="4" fillId="0" borderId="0" xfId="1" applyNumberFormat="1" applyFont="1" applyFill="1" applyBorder="1" applyAlignment="1">
      <alignment vertical="center"/>
    </xf>
    <xf numFmtId="2" fontId="0" fillId="0" borderId="0" xfId="0" applyNumberFormat="1" applyFont="1" applyFill="1"/>
    <xf numFmtId="164" fontId="6" fillId="3" borderId="4" xfId="1" applyNumberFormat="1" applyFont="1" applyFill="1" applyBorder="1" applyAlignment="1">
      <alignment vertical="center"/>
    </xf>
    <xf numFmtId="164" fontId="6" fillId="4" borderId="4" xfId="1" applyNumberFormat="1" applyFont="1" applyFill="1" applyBorder="1" applyAlignment="1">
      <alignment vertical="center"/>
    </xf>
    <xf numFmtId="0" fontId="14" fillId="0" borderId="0" xfId="0" applyFont="1" applyAlignment="1">
      <alignment horizontal="center"/>
    </xf>
    <xf numFmtId="0" fontId="10" fillId="0" borderId="17" xfId="0" applyFont="1" applyFill="1" applyBorder="1" applyAlignment="1">
      <alignment horizontal="right" vertical="center"/>
    </xf>
    <xf numFmtId="0" fontId="3" fillId="0" borderId="0" xfId="0" applyFont="1" applyFill="1" applyAlignment="1"/>
    <xf numFmtId="0" fontId="2" fillId="0" borderId="18" xfId="0" applyFont="1" applyFill="1" applyBorder="1" applyAlignment="1">
      <alignment wrapText="1"/>
    </xf>
    <xf numFmtId="0" fontId="2" fillId="0" borderId="17" xfId="0" applyFont="1" applyFill="1" applyBorder="1" applyAlignment="1"/>
    <xf numFmtId="164" fontId="6" fillId="5" borderId="20" xfId="1" applyNumberFormat="1" applyFont="1" applyFill="1" applyBorder="1" applyAlignment="1">
      <alignment vertical="center"/>
    </xf>
    <xf numFmtId="164" fontId="6" fillId="5" borderId="4" xfId="1" applyNumberFormat="1" applyFont="1" applyFill="1" applyBorder="1" applyAlignment="1">
      <alignment vertical="center"/>
    </xf>
    <xf numFmtId="164" fontId="6" fillId="5" borderId="5" xfId="1" applyNumberFormat="1" applyFont="1" applyFill="1" applyBorder="1" applyAlignment="1">
      <alignment vertical="center"/>
    </xf>
    <xf numFmtId="164" fontId="10" fillId="0" borderId="18" xfId="0" applyNumberFormat="1" applyFont="1" applyFill="1" applyBorder="1" applyAlignment="1">
      <alignment vertical="center"/>
    </xf>
    <xf numFmtId="164" fontId="6" fillId="6" borderId="20" xfId="1" applyNumberFormat="1" applyFont="1" applyFill="1" applyBorder="1" applyAlignment="1">
      <alignment vertical="center"/>
    </xf>
    <xf numFmtId="16" fontId="2" fillId="5" borderId="3" xfId="0" applyNumberFormat="1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164" fontId="6" fillId="0" borderId="2" xfId="1" applyNumberFormat="1" applyFont="1" applyFill="1" applyBorder="1" applyAlignment="1">
      <alignment vertical="center"/>
    </xf>
    <xf numFmtId="0" fontId="6" fillId="0" borderId="23" xfId="0" applyFont="1" applyFill="1" applyBorder="1" applyAlignment="1">
      <alignment vertical="center"/>
    </xf>
    <xf numFmtId="164" fontId="6" fillId="5" borderId="2" xfId="1" applyNumberFormat="1" applyFont="1" applyFill="1" applyBorder="1" applyAlignment="1">
      <alignment vertical="center"/>
    </xf>
    <xf numFmtId="164" fontId="4" fillId="0" borderId="17" xfId="0" applyNumberFormat="1" applyFont="1" applyFill="1" applyBorder="1" applyAlignment="1"/>
    <xf numFmtId="164" fontId="2" fillId="5" borderId="3" xfId="0" applyNumberFormat="1" applyFont="1" applyFill="1" applyBorder="1" applyAlignment="1"/>
    <xf numFmtId="164" fontId="2" fillId="0" borderId="19" xfId="0" applyNumberFormat="1" applyFont="1" applyFill="1" applyBorder="1" applyAlignment="1"/>
    <xf numFmtId="0" fontId="0" fillId="0" borderId="31" xfId="0" applyFill="1" applyBorder="1"/>
    <xf numFmtId="0" fontId="0" fillId="0" borderId="30" xfId="0" applyFill="1" applyBorder="1"/>
    <xf numFmtId="164" fontId="6" fillId="6" borderId="2" xfId="1" applyNumberFormat="1" applyFont="1" applyFill="1" applyBorder="1" applyAlignment="1">
      <alignment vertical="center"/>
    </xf>
    <xf numFmtId="164" fontId="2" fillId="6" borderId="3" xfId="0" applyNumberFormat="1" applyFont="1" applyFill="1" applyBorder="1" applyAlignment="1"/>
    <xf numFmtId="0" fontId="6" fillId="0" borderId="32" xfId="0" applyFont="1" applyFill="1" applyBorder="1" applyAlignment="1">
      <alignment horizontal="center" vertical="center"/>
    </xf>
    <xf numFmtId="0" fontId="0" fillId="0" borderId="35" xfId="0" applyFill="1" applyBorder="1"/>
    <xf numFmtId="3" fontId="0" fillId="0" borderId="0" xfId="0" applyNumberFormat="1" applyFill="1"/>
    <xf numFmtId="169" fontId="0" fillId="0" borderId="0" xfId="0" applyNumberFormat="1" applyFill="1"/>
    <xf numFmtId="164" fontId="6" fillId="8" borderId="20" xfId="1" applyNumberFormat="1" applyFont="1" applyFill="1" applyBorder="1" applyAlignment="1">
      <alignment vertical="center"/>
    </xf>
    <xf numFmtId="4" fontId="0" fillId="0" borderId="0" xfId="0" applyNumberFormat="1" applyFill="1"/>
    <xf numFmtId="4" fontId="0" fillId="5" borderId="0" xfId="0" applyNumberFormat="1" applyFill="1"/>
    <xf numFmtId="164" fontId="4" fillId="0" borderId="1" xfId="1" applyNumberFormat="1" applyFont="1" applyFill="1" applyBorder="1" applyAlignment="1">
      <alignment horizontal="center" vertical="center" wrapText="1"/>
    </xf>
    <xf numFmtId="164" fontId="4" fillId="0" borderId="2" xfId="1" applyNumberFormat="1" applyFont="1" applyFill="1" applyBorder="1" applyAlignment="1">
      <alignment horizontal="center" vertical="center" wrapText="1"/>
    </xf>
    <xf numFmtId="39" fontId="0" fillId="0" borderId="0" xfId="0" applyNumberFormat="1" applyFill="1"/>
    <xf numFmtId="164" fontId="4" fillId="0" borderId="1" xfId="1" applyNumberFormat="1" applyFont="1" applyFill="1" applyBorder="1" applyAlignment="1">
      <alignment horizontal="center" vertical="center" wrapText="1"/>
    </xf>
    <xf numFmtId="164" fontId="4" fillId="0" borderId="2" xfId="1" applyNumberFormat="1" applyFont="1" applyFill="1" applyBorder="1" applyAlignment="1">
      <alignment horizontal="center" vertical="center" wrapText="1"/>
    </xf>
    <xf numFmtId="164" fontId="6" fillId="6" borderId="6" xfId="1" applyNumberFormat="1" applyFont="1" applyFill="1" applyBorder="1" applyAlignment="1">
      <alignment vertical="center"/>
    </xf>
    <xf numFmtId="164" fontId="6" fillId="8" borderId="6" xfId="1" applyNumberFormat="1" applyFont="1" applyFill="1" applyBorder="1" applyAlignment="1">
      <alignment vertical="center"/>
    </xf>
    <xf numFmtId="0" fontId="6" fillId="0" borderId="37" xfId="0" applyFont="1" applyFill="1" applyBorder="1" applyAlignment="1">
      <alignment vertical="center"/>
    </xf>
    <xf numFmtId="0" fontId="6" fillId="0" borderId="30" xfId="0" applyFont="1" applyFill="1" applyBorder="1" applyAlignment="1">
      <alignment vertical="center"/>
    </xf>
    <xf numFmtId="0" fontId="6" fillId="0" borderId="38" xfId="0" applyFont="1" applyFill="1" applyBorder="1" applyAlignment="1">
      <alignment vertical="center"/>
    </xf>
    <xf numFmtId="0" fontId="6" fillId="0" borderId="36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0" fillId="0" borderId="33" xfId="0" applyFill="1" applyBorder="1"/>
    <xf numFmtId="0" fontId="0" fillId="0" borderId="34" xfId="0" applyFill="1" applyBorder="1"/>
    <xf numFmtId="166" fontId="0" fillId="0" borderId="0" xfId="0" applyNumberFormat="1" applyFill="1"/>
    <xf numFmtId="0" fontId="0" fillId="5" borderId="0" xfId="0" applyFill="1"/>
    <xf numFmtId="0" fontId="9" fillId="0" borderId="0" xfId="0" applyFont="1" applyFill="1"/>
    <xf numFmtId="164" fontId="9" fillId="0" borderId="0" xfId="0" applyNumberFormat="1" applyFont="1" applyFill="1"/>
    <xf numFmtId="164" fontId="4" fillId="0" borderId="9" xfId="0" applyNumberFormat="1" applyFont="1" applyFill="1" applyBorder="1" applyAlignment="1">
      <alignment vertical="center"/>
    </xf>
    <xf numFmtId="10" fontId="11" fillId="0" borderId="3" xfId="2" applyNumberFormat="1" applyFont="1" applyFill="1" applyBorder="1" applyAlignment="1">
      <alignment horizontal="center"/>
    </xf>
    <xf numFmtId="0" fontId="2" fillId="0" borderId="3" xfId="0" applyFont="1" applyFill="1" applyBorder="1"/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39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12" xfId="0" applyFont="1" applyFill="1" applyBorder="1" applyAlignment="1">
      <alignment vertical="center"/>
    </xf>
    <xf numFmtId="164" fontId="0" fillId="6" borderId="0" xfId="0" applyNumberFormat="1" applyFill="1"/>
    <xf numFmtId="14" fontId="6" fillId="0" borderId="20" xfId="0" applyNumberFormat="1" applyFont="1" applyFill="1" applyBorder="1" applyAlignment="1">
      <alignment horizontal="center" vertical="center"/>
    </xf>
    <xf numFmtId="164" fontId="4" fillId="0" borderId="1" xfId="1" applyNumberFormat="1" applyFont="1" applyFill="1" applyBorder="1" applyAlignment="1">
      <alignment horizontal="center" vertical="center" wrapText="1"/>
    </xf>
    <xf numFmtId="164" fontId="4" fillId="0" borderId="2" xfId="1" applyNumberFormat="1" applyFont="1" applyFill="1" applyBorder="1" applyAlignment="1">
      <alignment horizontal="center" vertical="center" wrapText="1"/>
    </xf>
    <xf numFmtId="0" fontId="0" fillId="6" borderId="0" xfId="0" applyFill="1"/>
    <xf numFmtId="14" fontId="6" fillId="6" borderId="20" xfId="1" applyNumberFormat="1" applyFont="1" applyFill="1" applyBorder="1" applyAlignment="1">
      <alignment vertical="center"/>
    </xf>
    <xf numFmtId="14" fontId="6" fillId="6" borderId="6" xfId="1" applyNumberFormat="1" applyFont="1" applyFill="1" applyBorder="1" applyAlignment="1">
      <alignment vertical="center"/>
    </xf>
    <xf numFmtId="0" fontId="0" fillId="0" borderId="0" xfId="0" applyNumberFormat="1" applyFill="1"/>
    <xf numFmtId="164" fontId="6" fillId="8" borderId="6" xfId="1" applyNumberFormat="1" applyFont="1" applyFill="1" applyBorder="1" applyAlignment="1">
      <alignment horizontal="center" vertical="center"/>
    </xf>
    <xf numFmtId="15" fontId="6" fillId="0" borderId="20" xfId="0" applyNumberFormat="1" applyFont="1" applyFill="1" applyBorder="1" applyAlignment="1">
      <alignment vertical="center"/>
    </xf>
    <xf numFmtId="14" fontId="6" fillId="0" borderId="20" xfId="0" applyNumberFormat="1" applyFont="1" applyFill="1" applyBorder="1" applyAlignment="1">
      <alignment vertical="center"/>
    </xf>
    <xf numFmtId="14" fontId="6" fillId="5" borderId="20" xfId="1" applyNumberFormat="1" applyFont="1" applyFill="1" applyBorder="1" applyAlignment="1">
      <alignment vertical="center"/>
    </xf>
    <xf numFmtId="14" fontId="6" fillId="0" borderId="5" xfId="0" applyNumberFormat="1" applyFont="1" applyFill="1" applyBorder="1" applyAlignment="1">
      <alignment vertical="center"/>
    </xf>
    <xf numFmtId="14" fontId="6" fillId="5" borderId="5" xfId="1" applyNumberFormat="1" applyFont="1" applyFill="1" applyBorder="1" applyAlignment="1">
      <alignment vertical="center"/>
    </xf>
    <xf numFmtId="14" fontId="6" fillId="5" borderId="4" xfId="1" applyNumberFormat="1" applyFont="1" applyFill="1" applyBorder="1" applyAlignment="1">
      <alignment vertical="center"/>
    </xf>
    <xf numFmtId="14" fontId="6" fillId="0" borderId="6" xfId="1" applyNumberFormat="1" applyFont="1" applyFill="1" applyBorder="1" applyAlignment="1">
      <alignment vertical="center"/>
    </xf>
    <xf numFmtId="164" fontId="4" fillId="0" borderId="1" xfId="1" applyNumberFormat="1" applyFont="1" applyFill="1" applyBorder="1" applyAlignment="1">
      <alignment horizontal="center" vertical="center" wrapText="1"/>
    </xf>
    <xf numFmtId="164" fontId="4" fillId="0" borderId="2" xfId="1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/>
    </xf>
    <xf numFmtId="0" fontId="10" fillId="0" borderId="17" xfId="0" applyFont="1" applyFill="1" applyBorder="1" applyAlignment="1">
      <alignment horizontal="right" vertical="center"/>
    </xf>
    <xf numFmtId="14" fontId="6" fillId="4" borderId="4" xfId="1" applyNumberFormat="1" applyFont="1" applyFill="1" applyBorder="1" applyAlignment="1">
      <alignment vertical="center"/>
    </xf>
    <xf numFmtId="164" fontId="6" fillId="4" borderId="5" xfId="1" applyNumberFormat="1" applyFont="1" applyFill="1" applyBorder="1" applyAlignment="1">
      <alignment vertical="center"/>
    </xf>
    <xf numFmtId="14" fontId="6" fillId="4" borderId="5" xfId="1" applyNumberFormat="1" applyFont="1" applyFill="1" applyBorder="1" applyAlignment="1">
      <alignment vertical="center"/>
    </xf>
    <xf numFmtId="164" fontId="6" fillId="4" borderId="20" xfId="1" applyNumberFormat="1" applyFont="1" applyFill="1" applyBorder="1" applyAlignment="1">
      <alignment vertical="center"/>
    </xf>
    <xf numFmtId="14" fontId="6" fillId="4" borderId="20" xfId="1" applyNumberFormat="1" applyFont="1" applyFill="1" applyBorder="1" applyAlignment="1">
      <alignment vertical="center"/>
    </xf>
    <xf numFmtId="164" fontId="6" fillId="4" borderId="20" xfId="1" applyNumberFormat="1" applyFont="1" applyFill="1" applyBorder="1" applyAlignment="1">
      <alignment horizontal="center" vertical="center"/>
    </xf>
    <xf numFmtId="0" fontId="0" fillId="4" borderId="0" xfId="0" applyFill="1"/>
    <xf numFmtId="164" fontId="0" fillId="4" borderId="0" xfId="0" applyNumberFormat="1" applyFill="1"/>
    <xf numFmtId="0" fontId="0" fillId="4" borderId="0" xfId="0" applyFont="1" applyFill="1"/>
    <xf numFmtId="0" fontId="0" fillId="4" borderId="0" xfId="0" applyNumberFormat="1" applyFill="1"/>
    <xf numFmtId="169" fontId="0" fillId="4" borderId="0" xfId="0" applyNumberFormat="1" applyFill="1"/>
    <xf numFmtId="4" fontId="0" fillId="4" borderId="0" xfId="0" applyNumberFormat="1" applyFill="1"/>
    <xf numFmtId="3" fontId="0" fillId="4" borderId="0" xfId="0" applyNumberFormat="1" applyFill="1"/>
    <xf numFmtId="166" fontId="0" fillId="4" borderId="0" xfId="0" applyNumberFormat="1" applyFill="1"/>
    <xf numFmtId="164" fontId="6" fillId="4" borderId="0" xfId="1" applyNumberFormat="1" applyFont="1" applyFill="1" applyBorder="1" applyAlignment="1">
      <alignment vertical="center"/>
    </xf>
    <xf numFmtId="0" fontId="2" fillId="9" borderId="3" xfId="0" applyFont="1" applyFill="1" applyBorder="1" applyAlignment="1">
      <alignment horizontal="center"/>
    </xf>
    <xf numFmtId="164" fontId="2" fillId="9" borderId="3" xfId="0" applyNumberFormat="1" applyFont="1" applyFill="1" applyBorder="1" applyAlignment="1"/>
    <xf numFmtId="164" fontId="2" fillId="7" borderId="3" xfId="0" applyNumberFormat="1" applyFont="1" applyFill="1" applyBorder="1" applyAlignment="1"/>
    <xf numFmtId="0" fontId="0" fillId="4" borderId="0" xfId="0" quotePrefix="1" applyFont="1" applyFill="1"/>
    <xf numFmtId="0" fontId="2" fillId="4" borderId="0" xfId="0" applyFont="1" applyFill="1"/>
    <xf numFmtId="0" fontId="2" fillId="0" borderId="0" xfId="0" applyFont="1" applyFill="1"/>
    <xf numFmtId="164" fontId="2" fillId="0" borderId="0" xfId="0" applyNumberFormat="1" applyFont="1" applyFill="1"/>
    <xf numFmtId="0" fontId="0" fillId="4" borderId="0" xfId="0" applyFont="1" applyFill="1" applyAlignment="1">
      <alignment wrapText="1"/>
    </xf>
    <xf numFmtId="0" fontId="0" fillId="4" borderId="0" xfId="0" quotePrefix="1" applyFont="1" applyFill="1" applyAlignment="1">
      <alignment wrapText="1"/>
    </xf>
    <xf numFmtId="164" fontId="2" fillId="4" borderId="0" xfId="0" applyNumberFormat="1" applyFont="1" applyFill="1"/>
    <xf numFmtId="0" fontId="6" fillId="0" borderId="0" xfId="0" applyFont="1" applyFill="1" applyBorder="1" applyAlignment="1">
      <alignment vertical="center" wrapText="1"/>
    </xf>
    <xf numFmtId="0" fontId="15" fillId="4" borderId="0" xfId="0" applyFont="1" applyFill="1"/>
    <xf numFmtId="170" fontId="0" fillId="0" borderId="0" xfId="0" applyNumberFormat="1" applyFill="1"/>
    <xf numFmtId="43" fontId="0" fillId="0" borderId="0" xfId="0" applyNumberFormat="1" applyFill="1"/>
    <xf numFmtId="164" fontId="11" fillId="0" borderId="0" xfId="0" applyNumberFormat="1" applyFont="1" applyFill="1" applyAlignment="1">
      <alignment horizontal="left"/>
    </xf>
    <xf numFmtId="164" fontId="11" fillId="0" borderId="0" xfId="0" applyNumberFormat="1" applyFont="1" applyFill="1" applyBorder="1" applyAlignment="1">
      <alignment horizontal="left"/>
    </xf>
    <xf numFmtId="0" fontId="18" fillId="0" borderId="0" xfId="3" applyFont="1"/>
    <xf numFmtId="0" fontId="19" fillId="5" borderId="0" xfId="3" applyFont="1" applyFill="1" applyAlignment="1"/>
    <xf numFmtId="0" fontId="20" fillId="5" borderId="0" xfId="3" applyFont="1" applyFill="1" applyBorder="1" applyAlignment="1"/>
    <xf numFmtId="0" fontId="18" fillId="0" borderId="41" xfId="3" applyFont="1" applyBorder="1" applyAlignment="1"/>
    <xf numFmtId="0" fontId="18" fillId="0" borderId="0" xfId="3" applyFont="1" applyBorder="1" applyAlignment="1"/>
    <xf numFmtId="0" fontId="18" fillId="5" borderId="41" xfId="3" applyFont="1" applyFill="1" applyBorder="1" applyAlignment="1"/>
    <xf numFmtId="0" fontId="19" fillId="0" borderId="44" xfId="3" applyFont="1" applyFill="1" applyBorder="1" applyAlignment="1">
      <alignment vertical="center"/>
    </xf>
    <xf numFmtId="0" fontId="19" fillId="0" borderId="27" xfId="3" applyFont="1" applyFill="1" applyBorder="1" applyAlignment="1">
      <alignment vertical="center"/>
    </xf>
    <xf numFmtId="0" fontId="19" fillId="0" borderId="22" xfId="3" applyFont="1" applyBorder="1" applyAlignment="1">
      <alignment horizontal="center"/>
    </xf>
    <xf numFmtId="0" fontId="19" fillId="0" borderId="42" xfId="3" applyFont="1" applyBorder="1" applyAlignment="1">
      <alignment horizontal="center"/>
    </xf>
    <xf numFmtId="0" fontId="19" fillId="0" borderId="43" xfId="3" applyFont="1" applyFill="1" applyBorder="1" applyAlignment="1">
      <alignment horizontal="center"/>
    </xf>
    <xf numFmtId="0" fontId="19" fillId="5" borderId="26" xfId="3" applyFont="1" applyFill="1" applyBorder="1" applyAlignment="1">
      <alignment horizontal="center" vertical="center"/>
    </xf>
    <xf numFmtId="0" fontId="19" fillId="0" borderId="42" xfId="3" applyFont="1" applyBorder="1" applyAlignment="1">
      <alignment vertical="center"/>
    </xf>
    <xf numFmtId="0" fontId="19" fillId="0" borderId="42" xfId="3" applyFont="1" applyBorder="1" applyAlignment="1">
      <alignment horizontal="center" vertical="center"/>
    </xf>
    <xf numFmtId="0" fontId="18" fillId="0" borderId="22" xfId="3" applyFont="1" applyBorder="1"/>
    <xf numFmtId="0" fontId="18" fillId="0" borderId="44" xfId="3" applyFont="1" applyBorder="1"/>
    <xf numFmtId="0" fontId="19" fillId="0" borderId="45" xfId="3" applyFont="1" applyBorder="1" applyAlignment="1">
      <alignment horizontal="center"/>
    </xf>
    <xf numFmtId="0" fontId="19" fillId="0" borderId="23" xfId="3" applyFont="1" applyFill="1" applyBorder="1" applyAlignment="1">
      <alignment horizontal="center"/>
    </xf>
    <xf numFmtId="0" fontId="19" fillId="0" borderId="35" xfId="3" applyFont="1" applyFill="1" applyBorder="1" applyAlignment="1">
      <alignment horizontal="center"/>
    </xf>
    <xf numFmtId="0" fontId="19" fillId="5" borderId="43" xfId="3" applyFont="1" applyFill="1" applyBorder="1" applyAlignment="1">
      <alignment horizontal="center" vertical="center"/>
    </xf>
    <xf numFmtId="0" fontId="19" fillId="0" borderId="35" xfId="3" applyFont="1" applyBorder="1" applyAlignment="1">
      <alignment horizontal="center" vertical="center"/>
    </xf>
    <xf numFmtId="0" fontId="19" fillId="0" borderId="35" xfId="3" applyFont="1" applyBorder="1" applyAlignment="1">
      <alignment horizontal="center" vertical="center" wrapText="1"/>
    </xf>
    <xf numFmtId="0" fontId="19" fillId="0" borderId="23" xfId="3" applyFont="1" applyFill="1" applyBorder="1" applyAlignment="1">
      <alignment vertical="center" wrapText="1"/>
    </xf>
    <xf numFmtId="0" fontId="19" fillId="0" borderId="45" xfId="3" applyFont="1" applyBorder="1" applyAlignment="1">
      <alignment vertical="center"/>
    </xf>
    <xf numFmtId="0" fontId="19" fillId="0" borderId="22" xfId="3" applyFont="1" applyBorder="1" applyAlignment="1">
      <alignment horizontal="center" vertical="center"/>
    </xf>
    <xf numFmtId="0" fontId="19" fillId="0" borderId="23" xfId="3" applyFont="1" applyBorder="1" applyAlignment="1">
      <alignment horizontal="center"/>
    </xf>
    <xf numFmtId="0" fontId="19" fillId="0" borderId="35" xfId="3" applyFont="1" applyBorder="1" applyAlignment="1">
      <alignment horizontal="center"/>
    </xf>
    <xf numFmtId="0" fontId="19" fillId="5" borderId="45" xfId="3" applyFont="1" applyFill="1" applyBorder="1" applyAlignment="1">
      <alignment horizontal="center" vertical="center"/>
    </xf>
    <xf numFmtId="0" fontId="19" fillId="5" borderId="45" xfId="3" applyFont="1" applyFill="1" applyBorder="1" applyAlignment="1">
      <alignment horizontal="center" vertical="center" wrapText="1"/>
    </xf>
    <xf numFmtId="0" fontId="19" fillId="0" borderId="31" xfId="3" applyFont="1" applyBorder="1" applyAlignment="1">
      <alignment vertical="center"/>
    </xf>
    <xf numFmtId="0" fontId="19" fillId="0" borderId="31" xfId="3" applyFont="1" applyBorder="1" applyAlignment="1">
      <alignment horizontal="center" vertical="center"/>
    </xf>
    <xf numFmtId="0" fontId="19" fillId="0" borderId="31" xfId="3" applyFont="1" applyBorder="1" applyAlignment="1">
      <alignment horizontal="center"/>
    </xf>
    <xf numFmtId="0" fontId="19" fillId="0" borderId="24" xfId="3" applyFont="1" applyFill="1" applyBorder="1" applyAlignment="1">
      <alignment vertical="center"/>
    </xf>
    <xf numFmtId="0" fontId="18" fillId="0" borderId="46" xfId="3" applyFont="1" applyBorder="1"/>
    <xf numFmtId="0" fontId="18" fillId="0" borderId="24" xfId="3" applyFont="1" applyBorder="1"/>
    <xf numFmtId="0" fontId="19" fillId="0" borderId="24" xfId="3" applyFont="1" applyBorder="1" applyAlignment="1">
      <alignment horizontal="center" vertical="center"/>
    </xf>
    <xf numFmtId="0" fontId="18" fillId="0" borderId="47" xfId="3" applyFont="1" applyBorder="1" applyAlignment="1">
      <alignment horizontal="center"/>
    </xf>
    <xf numFmtId="0" fontId="19" fillId="0" borderId="47" xfId="3" applyFont="1" applyBorder="1"/>
    <xf numFmtId="3" fontId="18" fillId="0" borderId="48" xfId="3" applyNumberFormat="1" applyFont="1" applyBorder="1" applyAlignment="1">
      <alignment horizontal="right"/>
    </xf>
    <xf numFmtId="0" fontId="18" fillId="0" borderId="48" xfId="3" applyFont="1" applyBorder="1" applyAlignment="1">
      <alignment horizontal="center"/>
    </xf>
    <xf numFmtId="0" fontId="18" fillId="0" borderId="47" xfId="3" applyFont="1" applyBorder="1"/>
    <xf numFmtId="0" fontId="18" fillId="5" borderId="0" xfId="3" applyFont="1" applyFill="1"/>
    <xf numFmtId="0" fontId="19" fillId="5" borderId="25" xfId="3" applyFont="1" applyFill="1" applyBorder="1" applyAlignment="1">
      <alignment vertical="center" wrapText="1"/>
    </xf>
    <xf numFmtId="0" fontId="19" fillId="5" borderId="22" xfId="3" applyFont="1" applyFill="1" applyBorder="1" applyAlignment="1">
      <alignment horizontal="center"/>
    </xf>
    <xf numFmtId="0" fontId="19" fillId="5" borderId="43" xfId="3" applyFont="1" applyFill="1" applyBorder="1" applyAlignment="1">
      <alignment horizontal="center"/>
    </xf>
    <xf numFmtId="0" fontId="19" fillId="5" borderId="23" xfId="3" applyFont="1" applyFill="1" applyBorder="1" applyAlignment="1">
      <alignment horizontal="center"/>
    </xf>
    <xf numFmtId="0" fontId="19" fillId="5" borderId="45" xfId="3" applyFont="1" applyFill="1" applyBorder="1" applyAlignment="1">
      <alignment horizontal="center"/>
    </xf>
    <xf numFmtId="0" fontId="19" fillId="0" borderId="48" xfId="3" applyFont="1" applyBorder="1"/>
    <xf numFmtId="3" fontId="18" fillId="0" borderId="48" xfId="3" applyNumberFormat="1" applyFont="1" applyBorder="1"/>
    <xf numFmtId="0" fontId="18" fillId="0" borderId="48" xfId="3" applyFont="1" applyBorder="1"/>
    <xf numFmtId="0" fontId="18" fillId="5" borderId="48" xfId="3" applyFont="1" applyFill="1" applyBorder="1" applyAlignment="1">
      <alignment horizontal="center"/>
    </xf>
    <xf numFmtId="3" fontId="18" fillId="5" borderId="48" xfId="3" applyNumberFormat="1" applyFont="1" applyFill="1" applyBorder="1" applyAlignment="1">
      <alignment horizontal="right"/>
    </xf>
    <xf numFmtId="0" fontId="18" fillId="5" borderId="23" xfId="3" applyFont="1" applyFill="1" applyBorder="1"/>
    <xf numFmtId="0" fontId="19" fillId="0" borderId="38" xfId="3" applyFont="1" applyBorder="1" applyAlignment="1">
      <alignment horizontal="center"/>
    </xf>
    <xf numFmtId="0" fontId="19" fillId="0" borderId="38" xfId="3" applyFont="1" applyBorder="1"/>
    <xf numFmtId="3" fontId="21" fillId="0" borderId="38" xfId="3" applyNumberFormat="1" applyFont="1" applyBorder="1" applyAlignment="1">
      <alignment horizontal="right"/>
    </xf>
    <xf numFmtId="3" fontId="19" fillId="0" borderId="38" xfId="3" applyNumberFormat="1" applyFont="1" applyBorder="1" applyAlignment="1">
      <alignment horizontal="right"/>
    </xf>
    <xf numFmtId="3" fontId="19" fillId="0" borderId="38" xfId="3" applyNumberFormat="1" applyFont="1" applyBorder="1"/>
    <xf numFmtId="4" fontId="19" fillId="0" borderId="38" xfId="3" applyNumberFormat="1" applyFont="1" applyBorder="1"/>
    <xf numFmtId="0" fontId="18" fillId="0" borderId="38" xfId="3" applyFont="1" applyBorder="1"/>
    <xf numFmtId="3" fontId="21" fillId="5" borderId="38" xfId="3" applyNumberFormat="1" applyFont="1" applyFill="1" applyBorder="1" applyAlignment="1">
      <alignment horizontal="right"/>
    </xf>
    <xf numFmtId="3" fontId="19" fillId="5" borderId="38" xfId="3" applyNumberFormat="1" applyFont="1" applyFill="1" applyBorder="1" applyAlignment="1">
      <alignment horizontal="right"/>
    </xf>
    <xf numFmtId="171" fontId="22" fillId="0" borderId="0" xfId="4" applyNumberFormat="1" applyFont="1"/>
    <xf numFmtId="0" fontId="18" fillId="0" borderId="38" xfId="3" applyFont="1" applyBorder="1" applyAlignment="1">
      <alignment horizontal="center"/>
    </xf>
    <xf numFmtId="3" fontId="18" fillId="0" borderId="38" xfId="3" applyNumberFormat="1" applyFont="1" applyBorder="1" applyAlignment="1">
      <alignment horizontal="right"/>
    </xf>
    <xf numFmtId="4" fontId="18" fillId="0" borderId="38" xfId="3" applyNumberFormat="1" applyFont="1" applyBorder="1"/>
    <xf numFmtId="0" fontId="18" fillId="5" borderId="38" xfId="3" applyFont="1" applyFill="1" applyBorder="1" applyAlignment="1">
      <alignment horizontal="center"/>
    </xf>
    <xf numFmtId="3" fontId="18" fillId="5" borderId="38" xfId="3" applyNumberFormat="1" applyFont="1" applyFill="1" applyBorder="1" applyAlignment="1">
      <alignment horizontal="right"/>
    </xf>
    <xf numFmtId="171" fontId="18" fillId="0" borderId="0" xfId="4" applyNumberFormat="1" applyFont="1"/>
    <xf numFmtId="0" fontId="23" fillId="0" borderId="38" xfId="3" applyFont="1" applyBorder="1"/>
    <xf numFmtId="0" fontId="19" fillId="5" borderId="38" xfId="3" applyFont="1" applyFill="1" applyBorder="1" applyAlignment="1">
      <alignment horizontal="center"/>
    </xf>
    <xf numFmtId="0" fontId="23" fillId="0" borderId="37" xfId="3" applyFont="1" applyBorder="1"/>
    <xf numFmtId="3" fontId="19" fillId="0" borderId="37" xfId="3" applyNumberFormat="1" applyFont="1" applyBorder="1" applyAlignment="1">
      <alignment horizontal="right"/>
    </xf>
    <xf numFmtId="0" fontId="18" fillId="0" borderId="37" xfId="3" applyFont="1" applyBorder="1" applyAlignment="1">
      <alignment horizontal="center"/>
    </xf>
    <xf numFmtId="0" fontId="19" fillId="0" borderId="37" xfId="3" applyFont="1" applyBorder="1" applyAlignment="1">
      <alignment horizontal="center"/>
    </xf>
    <xf numFmtId="4" fontId="19" fillId="0" borderId="37" xfId="3" applyNumberFormat="1" applyFont="1" applyBorder="1" applyAlignment="1">
      <alignment horizontal="right"/>
    </xf>
    <xf numFmtId="4" fontId="19" fillId="0" borderId="37" xfId="3" applyNumberFormat="1" applyFont="1" applyBorder="1"/>
    <xf numFmtId="0" fontId="18" fillId="0" borderId="37" xfId="3" applyFont="1" applyBorder="1"/>
    <xf numFmtId="0" fontId="19" fillId="5" borderId="37" xfId="3" applyFont="1" applyFill="1" applyBorder="1" applyAlignment="1">
      <alignment horizontal="center"/>
    </xf>
    <xf numFmtId="3" fontId="19" fillId="5" borderId="37" xfId="3" applyNumberFormat="1" applyFont="1" applyFill="1" applyBorder="1" applyAlignment="1">
      <alignment horizontal="right"/>
    </xf>
    <xf numFmtId="0" fontId="18" fillId="0" borderId="16" xfId="3" applyFont="1" applyBorder="1"/>
    <xf numFmtId="3" fontId="18" fillId="0" borderId="16" xfId="3" applyNumberFormat="1" applyFont="1" applyBorder="1" applyAlignment="1">
      <alignment horizontal="right"/>
    </xf>
    <xf numFmtId="3" fontId="18" fillId="0" borderId="16" xfId="3" applyNumberFormat="1" applyFont="1" applyBorder="1" applyAlignment="1">
      <alignment horizontal="left"/>
    </xf>
    <xf numFmtId="0" fontId="18" fillId="0" borderId="16" xfId="3" applyFont="1" applyBorder="1" applyAlignment="1">
      <alignment horizontal="center"/>
    </xf>
    <xf numFmtId="4" fontId="18" fillId="0" borderId="16" xfId="3" applyNumberFormat="1" applyFont="1" applyBorder="1" applyAlignment="1">
      <alignment horizontal="right"/>
    </xf>
    <xf numFmtId="4" fontId="18" fillId="0" borderId="16" xfId="3" applyNumberFormat="1" applyFont="1" applyBorder="1"/>
    <xf numFmtId="0" fontId="18" fillId="0" borderId="16" xfId="3" applyFont="1" applyBorder="1" applyAlignment="1">
      <alignment horizontal="left" wrapText="1"/>
    </xf>
    <xf numFmtId="0" fontId="18" fillId="5" borderId="16" xfId="3" applyFont="1" applyFill="1" applyBorder="1" applyAlignment="1">
      <alignment horizontal="left" wrapText="1"/>
    </xf>
    <xf numFmtId="0" fontId="18" fillId="5" borderId="16" xfId="3" applyFont="1" applyFill="1" applyBorder="1" applyAlignment="1">
      <alignment horizontal="center"/>
    </xf>
    <xf numFmtId="15" fontId="18" fillId="5" borderId="16" xfId="3" applyNumberFormat="1" applyFont="1" applyFill="1" applyBorder="1" applyAlignment="1">
      <alignment horizontal="center" vertical="center"/>
    </xf>
    <xf numFmtId="0" fontId="18" fillId="5" borderId="16" xfId="3" applyFont="1" applyFill="1" applyBorder="1" applyAlignment="1">
      <alignment horizontal="center" wrapText="1"/>
    </xf>
    <xf numFmtId="3" fontId="18" fillId="5" borderId="16" xfId="3" applyNumberFormat="1" applyFont="1" applyFill="1" applyBorder="1" applyAlignment="1">
      <alignment horizontal="center"/>
    </xf>
    <xf numFmtId="3" fontId="18" fillId="5" borderId="16" xfId="3" applyNumberFormat="1" applyFont="1" applyFill="1" applyBorder="1" applyAlignment="1">
      <alignment horizontal="right"/>
    </xf>
    <xf numFmtId="15" fontId="18" fillId="5" borderId="16" xfId="3" applyNumberFormat="1" applyFont="1" applyFill="1" applyBorder="1"/>
    <xf numFmtId="9" fontId="18" fillId="0" borderId="16" xfId="3" applyNumberFormat="1" applyFont="1" applyBorder="1" applyAlignment="1">
      <alignment horizontal="left"/>
    </xf>
    <xf numFmtId="0" fontId="18" fillId="0" borderId="16" xfId="3" applyFont="1" applyBorder="1" applyAlignment="1">
      <alignment horizontal="left"/>
    </xf>
    <xf numFmtId="0" fontId="18" fillId="5" borderId="16" xfId="3" applyFont="1" applyFill="1" applyBorder="1"/>
    <xf numFmtId="0" fontId="18" fillId="0" borderId="16" xfId="3" applyFont="1" applyBorder="1" applyAlignment="1">
      <alignment wrapText="1"/>
    </xf>
    <xf numFmtId="3" fontId="18" fillId="5" borderId="16" xfId="3" applyNumberFormat="1" applyFont="1" applyFill="1" applyBorder="1" applyAlignment="1">
      <alignment horizontal="center" wrapText="1"/>
    </xf>
    <xf numFmtId="3" fontId="18" fillId="5" borderId="16" xfId="3" applyNumberFormat="1" applyFont="1" applyFill="1" applyBorder="1" applyAlignment="1">
      <alignment horizontal="right" wrapText="1"/>
    </xf>
    <xf numFmtId="3" fontId="18" fillId="0" borderId="0" xfId="3" applyNumberFormat="1" applyFont="1"/>
    <xf numFmtId="171" fontId="18" fillId="0" borderId="0" xfId="3" applyNumberFormat="1" applyFont="1"/>
    <xf numFmtId="3" fontId="18" fillId="5" borderId="25" xfId="3" applyNumberFormat="1" applyFont="1" applyFill="1" applyBorder="1" applyAlignment="1">
      <alignment horizontal="center"/>
    </xf>
    <xf numFmtId="3" fontId="18" fillId="5" borderId="25" xfId="3" applyNumberFormat="1" applyFont="1" applyFill="1" applyBorder="1" applyAlignment="1">
      <alignment horizontal="right" wrapText="1"/>
    </xf>
    <xf numFmtId="15" fontId="18" fillId="5" borderId="16" xfId="3" applyNumberFormat="1" applyFont="1" applyFill="1" applyBorder="1" applyAlignment="1">
      <alignment horizontal="center" vertical="top"/>
    </xf>
    <xf numFmtId="0" fontId="18" fillId="5" borderId="16" xfId="3" applyFont="1" applyFill="1" applyBorder="1" applyAlignment="1">
      <alignment wrapText="1"/>
    </xf>
    <xf numFmtId="3" fontId="18" fillId="5" borderId="25" xfId="3" applyNumberFormat="1" applyFont="1" applyFill="1" applyBorder="1" applyAlignment="1">
      <alignment horizontal="right"/>
    </xf>
    <xf numFmtId="9" fontId="18" fillId="0" borderId="0" xfId="3" applyNumberFormat="1" applyFont="1"/>
    <xf numFmtId="3" fontId="18" fillId="5" borderId="16" xfId="3" applyNumberFormat="1" applyFont="1" applyFill="1" applyBorder="1" applyAlignment="1">
      <alignment vertical="center"/>
    </xf>
    <xf numFmtId="0" fontId="18" fillId="0" borderId="0" xfId="3" applyFont="1" applyFill="1"/>
    <xf numFmtId="0" fontId="19" fillId="4" borderId="38" xfId="3" applyFont="1" applyFill="1" applyBorder="1"/>
    <xf numFmtId="3" fontId="19" fillId="4" borderId="38" xfId="3" applyNumberFormat="1" applyFont="1" applyFill="1" applyBorder="1" applyAlignment="1">
      <alignment horizontal="right"/>
    </xf>
    <xf numFmtId="0" fontId="18" fillId="4" borderId="38" xfId="3" applyFont="1" applyFill="1" applyBorder="1" applyAlignment="1">
      <alignment horizontal="center"/>
    </xf>
    <xf numFmtId="3" fontId="19" fillId="4" borderId="38" xfId="3" applyNumberFormat="1" applyFont="1" applyFill="1" applyBorder="1"/>
    <xf numFmtId="4" fontId="19" fillId="4" borderId="38" xfId="3" applyNumberFormat="1" applyFont="1" applyFill="1" applyBorder="1"/>
    <xf numFmtId="9" fontId="18" fillId="4" borderId="38" xfId="3" applyNumberFormat="1" applyFont="1" applyFill="1" applyBorder="1" applyAlignment="1">
      <alignment horizontal="left"/>
    </xf>
    <xf numFmtId="0" fontId="18" fillId="4" borderId="38" xfId="3" applyFont="1" applyFill="1" applyBorder="1"/>
    <xf numFmtId="0" fontId="18" fillId="4" borderId="0" xfId="3" applyFont="1" applyFill="1"/>
    <xf numFmtId="9" fontId="18" fillId="0" borderId="38" xfId="3" applyNumberFormat="1" applyFont="1" applyBorder="1" applyAlignment="1">
      <alignment horizontal="left"/>
    </xf>
    <xf numFmtId="9" fontId="18" fillId="0" borderId="37" xfId="3" applyNumberFormat="1" applyFont="1" applyBorder="1" applyAlignment="1">
      <alignment horizontal="left"/>
    </xf>
    <xf numFmtId="0" fontId="18" fillId="5" borderId="37" xfId="3" applyFont="1" applyFill="1" applyBorder="1" applyAlignment="1">
      <alignment horizontal="center"/>
    </xf>
    <xf numFmtId="3" fontId="18" fillId="5" borderId="16" xfId="3" applyNumberFormat="1" applyFont="1" applyFill="1" applyBorder="1"/>
    <xf numFmtId="3" fontId="18" fillId="5" borderId="22" xfId="3" applyNumberFormat="1" applyFont="1" applyFill="1" applyBorder="1" applyAlignment="1">
      <alignment horizontal="right"/>
    </xf>
    <xf numFmtId="3" fontId="18" fillId="5" borderId="25" xfId="3" applyNumberFormat="1" applyFont="1" applyFill="1" applyBorder="1"/>
    <xf numFmtId="3" fontId="18" fillId="5" borderId="42" xfId="3" applyNumberFormat="1" applyFont="1" applyFill="1" applyBorder="1" applyAlignment="1">
      <alignment horizontal="right"/>
    </xf>
    <xf numFmtId="0" fontId="18" fillId="0" borderId="0" xfId="3" applyFont="1" applyBorder="1" applyAlignment="1">
      <alignment horizontal="center"/>
    </xf>
    <xf numFmtId="3" fontId="19" fillId="0" borderId="47" xfId="3" applyNumberFormat="1" applyFont="1" applyBorder="1" applyAlignment="1">
      <alignment horizontal="right"/>
    </xf>
    <xf numFmtId="3" fontId="19" fillId="5" borderId="47" xfId="3" applyNumberFormat="1" applyFont="1" applyFill="1" applyBorder="1" applyAlignment="1">
      <alignment horizontal="right"/>
    </xf>
    <xf numFmtId="3" fontId="19" fillId="5" borderId="16" xfId="3" applyNumberFormat="1" applyFont="1" applyFill="1" applyBorder="1" applyAlignment="1">
      <alignment horizontal="right"/>
    </xf>
    <xf numFmtId="0" fontId="18" fillId="0" borderId="49" xfId="3" applyFont="1" applyBorder="1" applyAlignment="1">
      <alignment horizontal="center"/>
    </xf>
    <xf numFmtId="0" fontId="18" fillId="0" borderId="49" xfId="3" applyFont="1" applyBorder="1"/>
    <xf numFmtId="3" fontId="18" fillId="0" borderId="49" xfId="3" applyNumberFormat="1" applyFont="1" applyBorder="1" applyAlignment="1">
      <alignment horizontal="right"/>
    </xf>
    <xf numFmtId="0" fontId="19" fillId="0" borderId="49" xfId="3" applyFont="1" applyBorder="1" applyAlignment="1">
      <alignment horizontal="center"/>
    </xf>
    <xf numFmtId="4" fontId="18" fillId="0" borderId="49" xfId="3" applyNumberFormat="1" applyFont="1" applyBorder="1" applyAlignment="1">
      <alignment horizontal="right"/>
    </xf>
    <xf numFmtId="4" fontId="18" fillId="0" borderId="49" xfId="3" applyNumberFormat="1" applyFont="1" applyBorder="1"/>
    <xf numFmtId="0" fontId="19" fillId="5" borderId="49" xfId="3" applyFont="1" applyFill="1" applyBorder="1" applyAlignment="1">
      <alignment horizontal="center"/>
    </xf>
    <xf numFmtId="3" fontId="18" fillId="5" borderId="24" xfId="3" applyNumberFormat="1" applyFont="1" applyFill="1" applyBorder="1" applyAlignment="1">
      <alignment horizontal="right"/>
    </xf>
    <xf numFmtId="0" fontId="18" fillId="5" borderId="24" xfId="3" applyFont="1" applyFill="1" applyBorder="1"/>
    <xf numFmtId="3" fontId="18" fillId="5" borderId="0" xfId="3" applyNumberFormat="1" applyFont="1" applyFill="1"/>
    <xf numFmtId="0" fontId="18" fillId="0" borderId="0" xfId="3" applyFont="1" applyAlignment="1">
      <alignment wrapText="1"/>
    </xf>
    <xf numFmtId="0" fontId="18" fillId="0" borderId="0" xfId="3" applyFont="1" applyAlignment="1">
      <alignment vertical="top"/>
    </xf>
    <xf numFmtId="0" fontId="18" fillId="0" borderId="0" xfId="3" applyFont="1" applyAlignment="1"/>
    <xf numFmtId="0" fontId="24" fillId="0" borderId="0" xfId="3" applyFont="1" applyAlignment="1"/>
    <xf numFmtId="0" fontId="24" fillId="0" borderId="0" xfId="3" applyFont="1" applyAlignment="1">
      <alignment horizontal="center"/>
    </xf>
    <xf numFmtId="0" fontId="18" fillId="0" borderId="0" xfId="3" applyFont="1" applyAlignment="1">
      <alignment horizontal="center"/>
    </xf>
    <xf numFmtId="1" fontId="18" fillId="5" borderId="0" xfId="3" applyNumberFormat="1" applyFont="1" applyFill="1"/>
    <xf numFmtId="9" fontId="18" fillId="5" borderId="0" xfId="3" applyNumberFormat="1" applyFont="1" applyFill="1"/>
    <xf numFmtId="0" fontId="25" fillId="0" borderId="0" xfId="3" applyFont="1"/>
    <xf numFmtId="1" fontId="25" fillId="5" borderId="0" xfId="3" applyNumberFormat="1" applyFont="1" applyFill="1"/>
    <xf numFmtId="0" fontId="25" fillId="5" borderId="0" xfId="3" applyFont="1" applyFill="1"/>
    <xf numFmtId="9" fontId="25" fillId="5" borderId="0" xfId="3" applyNumberFormat="1" applyFont="1" applyFill="1"/>
    <xf numFmtId="0" fontId="19" fillId="0" borderId="22" xfId="3" applyFont="1" applyBorder="1" applyAlignment="1">
      <alignment horizontal="center" vertical="center" wrapText="1"/>
    </xf>
    <xf numFmtId="0" fontId="19" fillId="0" borderId="24" xfId="3" applyFont="1" applyBorder="1" applyAlignment="1">
      <alignment horizontal="center"/>
    </xf>
    <xf numFmtId="0" fontId="18" fillId="5" borderId="16" xfId="3" applyFont="1" applyFill="1" applyBorder="1" applyAlignment="1"/>
    <xf numFmtId="15" fontId="18" fillId="5" borderId="16" xfId="3" applyNumberFormat="1" applyFont="1" applyFill="1" applyBorder="1" applyAlignment="1">
      <alignment horizontal="center"/>
    </xf>
    <xf numFmtId="4" fontId="19" fillId="0" borderId="16" xfId="3" applyNumberFormat="1" applyFont="1" applyBorder="1" applyAlignment="1">
      <alignment horizontal="right"/>
    </xf>
    <xf numFmtId="3" fontId="19" fillId="0" borderId="50" xfId="3" applyNumberFormat="1" applyFont="1" applyBorder="1"/>
    <xf numFmtId="4" fontId="19" fillId="0" borderId="51" xfId="3" applyNumberFormat="1" applyFont="1" applyBorder="1"/>
    <xf numFmtId="4" fontId="18" fillId="0" borderId="37" xfId="3" applyNumberFormat="1" applyFont="1" applyBorder="1" applyAlignment="1">
      <alignment horizontal="right"/>
    </xf>
    <xf numFmtId="4" fontId="19" fillId="0" borderId="23" xfId="3" applyNumberFormat="1" applyFont="1" applyBorder="1" applyAlignment="1">
      <alignment horizontal="right"/>
    </xf>
    <xf numFmtId="3" fontId="19" fillId="0" borderId="52" xfId="3" applyNumberFormat="1" applyFont="1" applyBorder="1" applyAlignment="1">
      <alignment horizontal="right"/>
    </xf>
    <xf numFmtId="4" fontId="19" fillId="0" borderId="53" xfId="3" applyNumberFormat="1" applyFont="1" applyBorder="1"/>
    <xf numFmtId="4" fontId="18" fillId="0" borderId="22" xfId="3" applyNumberFormat="1" applyFont="1" applyBorder="1" applyAlignment="1">
      <alignment horizontal="right"/>
    </xf>
    <xf numFmtId="4" fontId="18" fillId="0" borderId="24" xfId="3" applyNumberFormat="1" applyFont="1" applyBorder="1" applyAlignment="1">
      <alignment horizontal="right"/>
    </xf>
    <xf numFmtId="0" fontId="18" fillId="5" borderId="16" xfId="3" applyFont="1" applyFill="1" applyBorder="1" applyAlignment="1">
      <alignment horizontal="left"/>
    </xf>
    <xf numFmtId="4" fontId="19" fillId="0" borderId="47" xfId="3" applyNumberFormat="1" applyFont="1" applyBorder="1" applyAlignment="1">
      <alignment horizontal="right"/>
    </xf>
    <xf numFmtId="0" fontId="19" fillId="4" borderId="48" xfId="3" applyFont="1" applyFill="1" applyBorder="1" applyAlignment="1">
      <alignment horizontal="center"/>
    </xf>
    <xf numFmtId="0" fontId="18" fillId="0" borderId="41" xfId="3" applyFont="1" applyBorder="1" applyAlignment="1">
      <alignment horizontal="center"/>
    </xf>
    <xf numFmtId="0" fontId="19" fillId="0" borderId="22" xfId="3" applyFont="1" applyFill="1" applyBorder="1" applyAlignment="1">
      <alignment horizontal="center"/>
    </xf>
    <xf numFmtId="0" fontId="19" fillId="0" borderId="46" xfId="3" applyFont="1" applyBorder="1" applyAlignment="1">
      <alignment horizontal="center"/>
    </xf>
    <xf numFmtId="0" fontId="18" fillId="4" borderId="51" xfId="3" applyFont="1" applyFill="1" applyBorder="1" applyAlignment="1">
      <alignment horizontal="center"/>
    </xf>
    <xf numFmtId="3" fontId="19" fillId="4" borderId="48" xfId="3" applyNumberFormat="1" applyFont="1" applyFill="1" applyBorder="1" applyAlignment="1">
      <alignment horizontal="right"/>
    </xf>
    <xf numFmtId="0" fontId="18" fillId="4" borderId="16" xfId="3" applyFont="1" applyFill="1" applyBorder="1" applyAlignment="1">
      <alignment horizontal="center"/>
    </xf>
    <xf numFmtId="3" fontId="19" fillId="0" borderId="53" xfId="3" applyNumberFormat="1" applyFont="1" applyBorder="1" applyAlignment="1">
      <alignment horizontal="right"/>
    </xf>
    <xf numFmtId="3" fontId="19" fillId="0" borderId="16" xfId="3" applyNumberFormat="1" applyFont="1" applyBorder="1" applyAlignment="1">
      <alignment horizontal="right"/>
    </xf>
    <xf numFmtId="0" fontId="18" fillId="0" borderId="16" xfId="3" applyFont="1" applyBorder="1" applyAlignment="1">
      <alignment horizontal="center" wrapText="1"/>
    </xf>
    <xf numFmtId="15" fontId="18" fillId="0" borderId="22" xfId="3" applyNumberFormat="1" applyFont="1" applyFill="1" applyBorder="1" applyAlignment="1">
      <alignment horizontal="center" vertical="top"/>
    </xf>
    <xf numFmtId="15" fontId="18" fillId="0" borderId="16" xfId="3" applyNumberFormat="1" applyFont="1" applyFill="1" applyBorder="1" applyAlignment="1">
      <alignment horizontal="center" vertical="center"/>
    </xf>
    <xf numFmtId="15" fontId="18" fillId="0" borderId="16" xfId="3" applyNumberFormat="1" applyFont="1" applyFill="1" applyBorder="1" applyAlignment="1">
      <alignment horizontal="center" vertical="top"/>
    </xf>
    <xf numFmtId="15" fontId="18" fillId="0" borderId="16" xfId="3" applyNumberFormat="1" applyFont="1" applyFill="1" applyBorder="1" applyAlignment="1">
      <alignment horizontal="center"/>
    </xf>
    <xf numFmtId="0" fontId="18" fillId="0" borderId="22" xfId="3" applyFont="1" applyBorder="1" applyAlignment="1">
      <alignment horizontal="center" wrapText="1"/>
    </xf>
    <xf numFmtId="0" fontId="18" fillId="0" borderId="0" xfId="3" applyFont="1" applyFill="1" applyBorder="1"/>
    <xf numFmtId="0" fontId="19" fillId="0" borderId="43" xfId="3" applyFont="1" applyFill="1" applyBorder="1" applyAlignment="1">
      <alignment vertical="center"/>
    </xf>
    <xf numFmtId="0" fontId="19" fillId="0" borderId="22" xfId="3" applyFont="1" applyFill="1" applyBorder="1" applyAlignment="1">
      <alignment vertical="center"/>
    </xf>
    <xf numFmtId="0" fontId="19" fillId="0" borderId="45" xfId="3" applyFont="1" applyFill="1" applyBorder="1" applyAlignment="1">
      <alignment horizontal="center"/>
    </xf>
    <xf numFmtId="0" fontId="19" fillId="0" borderId="45" xfId="3" applyFont="1" applyFill="1" applyBorder="1" applyAlignment="1">
      <alignment horizontal="center" vertical="center"/>
    </xf>
    <xf numFmtId="0" fontId="19" fillId="0" borderId="23" xfId="3" applyFont="1" applyFill="1" applyBorder="1" applyAlignment="1">
      <alignment horizontal="center" vertical="center"/>
    </xf>
    <xf numFmtId="0" fontId="18" fillId="0" borderId="46" xfId="3" applyFont="1" applyFill="1" applyBorder="1"/>
    <xf numFmtId="0" fontId="18" fillId="0" borderId="24" xfId="3" applyFont="1" applyFill="1" applyBorder="1"/>
    <xf numFmtId="0" fontId="18" fillId="0" borderId="48" xfId="3" applyFont="1" applyFill="1" applyBorder="1" applyAlignment="1">
      <alignment horizontal="center"/>
    </xf>
    <xf numFmtId="3" fontId="21" fillId="0" borderId="38" xfId="3" applyNumberFormat="1" applyFont="1" applyFill="1" applyBorder="1" applyAlignment="1">
      <alignment horizontal="right"/>
    </xf>
    <xf numFmtId="0" fontId="18" fillId="0" borderId="38" xfId="3" applyFont="1" applyFill="1" applyBorder="1" applyAlignment="1">
      <alignment horizontal="center"/>
    </xf>
    <xf numFmtId="0" fontId="19" fillId="0" borderId="38" xfId="3" applyFont="1" applyFill="1" applyBorder="1" applyAlignment="1">
      <alignment horizontal="center"/>
    </xf>
    <xf numFmtId="0" fontId="19" fillId="0" borderId="37" xfId="3" applyFont="1" applyFill="1" applyBorder="1" applyAlignment="1">
      <alignment horizontal="center"/>
    </xf>
    <xf numFmtId="1" fontId="18" fillId="0" borderId="16" xfId="3" applyNumberFormat="1" applyFont="1" applyFill="1" applyBorder="1" applyAlignment="1">
      <alignment horizontal="center"/>
    </xf>
    <xf numFmtId="15" fontId="18" fillId="0" borderId="31" xfId="3" applyNumberFormat="1" applyFont="1" applyFill="1" applyBorder="1" applyAlignment="1">
      <alignment horizontal="center"/>
    </xf>
    <xf numFmtId="15" fontId="18" fillId="0" borderId="24" xfId="3" applyNumberFormat="1" applyFont="1" applyFill="1" applyBorder="1" applyAlignment="1">
      <alignment horizontal="center"/>
    </xf>
    <xf numFmtId="1" fontId="18" fillId="0" borderId="24" xfId="3" applyNumberFormat="1" applyFont="1" applyFill="1" applyBorder="1" applyAlignment="1">
      <alignment horizontal="center"/>
    </xf>
    <xf numFmtId="3" fontId="19" fillId="0" borderId="38" xfId="3" applyNumberFormat="1" applyFont="1" applyFill="1" applyBorder="1" applyAlignment="1">
      <alignment horizontal="right"/>
    </xf>
    <xf numFmtId="0" fontId="18" fillId="0" borderId="37" xfId="3" applyFont="1" applyFill="1" applyBorder="1" applyAlignment="1">
      <alignment horizontal="center"/>
    </xf>
    <xf numFmtId="15" fontId="18" fillId="0" borderId="22" xfId="3" applyNumberFormat="1" applyFont="1" applyFill="1" applyBorder="1" applyAlignment="1">
      <alignment horizontal="center"/>
    </xf>
    <xf numFmtId="1" fontId="18" fillId="0" borderId="22" xfId="3" applyNumberFormat="1" applyFont="1" applyFill="1" applyBorder="1" applyAlignment="1">
      <alignment horizontal="center"/>
    </xf>
    <xf numFmtId="3" fontId="19" fillId="0" borderId="47" xfId="3" applyNumberFormat="1" applyFont="1" applyFill="1" applyBorder="1" applyAlignment="1">
      <alignment horizontal="right"/>
    </xf>
    <xf numFmtId="0" fontId="19" fillId="0" borderId="49" xfId="3" applyFont="1" applyFill="1" applyBorder="1" applyAlignment="1">
      <alignment horizontal="center"/>
    </xf>
    <xf numFmtId="0" fontId="18" fillId="0" borderId="0" xfId="3" applyFont="1" applyFill="1" applyBorder="1" applyAlignment="1"/>
    <xf numFmtId="0" fontId="18" fillId="0" borderId="0" xfId="3" applyFont="1" applyFill="1" applyAlignment="1"/>
    <xf numFmtId="0" fontId="24" fillId="0" borderId="0" xfId="3" applyFont="1" applyFill="1" applyAlignment="1"/>
    <xf numFmtId="0" fontId="18" fillId="0" borderId="0" xfId="3" applyFont="1" applyFill="1" applyBorder="1" applyAlignment="1">
      <alignment horizontal="center"/>
    </xf>
    <xf numFmtId="0" fontId="18" fillId="0" borderId="0" xfId="3" applyFont="1" applyFill="1" applyAlignment="1">
      <alignment horizontal="center"/>
    </xf>
    <xf numFmtId="0" fontId="24" fillId="0" borderId="0" xfId="3" applyFont="1" applyFill="1" applyAlignment="1">
      <alignment horizontal="center"/>
    </xf>
    <xf numFmtId="0" fontId="25" fillId="0" borderId="0" xfId="3" applyFont="1" applyFill="1"/>
    <xf numFmtId="0" fontId="19" fillId="0" borderId="22" xfId="3" applyFont="1" applyFill="1" applyBorder="1" applyAlignment="1">
      <alignment horizontal="center" vertical="center"/>
    </xf>
    <xf numFmtId="0" fontId="19" fillId="0" borderId="24" xfId="3" applyFont="1" applyFill="1" applyBorder="1" applyAlignment="1">
      <alignment horizontal="center" vertical="center"/>
    </xf>
    <xf numFmtId="0" fontId="18" fillId="5" borderId="16" xfId="3" applyFont="1" applyFill="1" applyBorder="1" applyAlignment="1">
      <alignment horizontal="center" vertical="center" wrapText="1"/>
    </xf>
    <xf numFmtId="3" fontId="18" fillId="5" borderId="16" xfId="3" applyNumberFormat="1" applyFont="1" applyFill="1" applyBorder="1" applyAlignment="1">
      <alignment horizontal="center" vertical="center"/>
    </xf>
    <xf numFmtId="3" fontId="18" fillId="5" borderId="22" xfId="3" applyNumberFormat="1" applyFont="1" applyFill="1" applyBorder="1" applyAlignment="1">
      <alignment horizontal="center" vertical="center"/>
    </xf>
    <xf numFmtId="3" fontId="18" fillId="5" borderId="25" xfId="3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4" xfId="0" quotePrefix="1" applyFill="1" applyBorder="1" applyAlignment="1">
      <alignment horizontal="left" wrapText="1"/>
    </xf>
    <xf numFmtId="0" fontId="0" fillId="0" borderId="0" xfId="0" applyFill="1" applyBorder="1" applyAlignment="1">
      <alignment horizontal="left" wrapText="1"/>
    </xf>
    <xf numFmtId="0" fontId="0" fillId="0" borderId="15" xfId="0" applyFill="1" applyBorder="1" applyAlignment="1">
      <alignment horizontal="left" wrapText="1"/>
    </xf>
    <xf numFmtId="0" fontId="0" fillId="0" borderId="14" xfId="0" applyFill="1" applyBorder="1" applyAlignment="1">
      <alignment horizontal="left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2" xfId="0" applyFill="1" applyBorder="1" applyAlignment="1">
      <alignment horizontal="center" vertical="center" wrapText="1"/>
    </xf>
    <xf numFmtId="0" fontId="0" fillId="0" borderId="23" xfId="0" applyFill="1" applyBorder="1" applyAlignment="1">
      <alignment horizontal="center" vertical="center" wrapText="1"/>
    </xf>
    <xf numFmtId="165" fontId="0" fillId="0" borderId="22" xfId="0" applyNumberFormat="1" applyBorder="1" applyAlignment="1">
      <alignment horizontal="center" vertical="center" wrapText="1"/>
    </xf>
    <xf numFmtId="165" fontId="0" fillId="0" borderId="23" xfId="0" applyNumberFormat="1" applyBorder="1" applyAlignment="1">
      <alignment horizontal="center" vertical="center" wrapText="1"/>
    </xf>
    <xf numFmtId="165" fontId="0" fillId="0" borderId="24" xfId="0" applyNumberForma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0" borderId="16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0" fillId="0" borderId="24" xfId="0" applyFill="1" applyBorder="1" applyAlignment="1">
      <alignment horizontal="center" vertical="center" wrapText="1"/>
    </xf>
    <xf numFmtId="165" fontId="0" fillId="0" borderId="22" xfId="0" applyNumberFormat="1" applyFill="1" applyBorder="1" applyAlignment="1">
      <alignment horizontal="center" vertical="center" wrapText="1"/>
    </xf>
    <xf numFmtId="165" fontId="0" fillId="0" borderId="23" xfId="0" applyNumberFormat="1" applyFill="1" applyBorder="1" applyAlignment="1">
      <alignment horizontal="center" vertical="center" wrapText="1"/>
    </xf>
    <xf numFmtId="165" fontId="0" fillId="0" borderId="24" xfId="0" applyNumberForma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horizontal="left" vertical="center"/>
    </xf>
    <xf numFmtId="0" fontId="10" fillId="0" borderId="18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right" vertical="center"/>
    </xf>
    <xf numFmtId="164" fontId="4" fillId="0" borderId="1" xfId="1" applyNumberFormat="1" applyFont="1" applyFill="1" applyBorder="1" applyAlignment="1">
      <alignment horizontal="center" vertical="center" wrapText="1"/>
    </xf>
    <xf numFmtId="164" fontId="4" fillId="0" borderId="2" xfId="1" applyNumberFormat="1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/>
    </xf>
    <xf numFmtId="164" fontId="0" fillId="0" borderId="0" xfId="0" applyNumberFormat="1" applyFill="1" applyAlignment="1">
      <alignment horizontal="left" wrapText="1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right" vertical="center"/>
    </xf>
    <xf numFmtId="0" fontId="10" fillId="0" borderId="18" xfId="0" applyFont="1" applyFill="1" applyBorder="1" applyAlignment="1">
      <alignment horizontal="right" vertical="center"/>
    </xf>
    <xf numFmtId="0" fontId="10" fillId="0" borderId="19" xfId="0" applyFont="1" applyFill="1" applyBorder="1" applyAlignment="1">
      <alignment horizontal="right" vertical="center"/>
    </xf>
    <xf numFmtId="0" fontId="10" fillId="0" borderId="19" xfId="0" applyFont="1" applyFill="1" applyBorder="1" applyAlignment="1">
      <alignment horizontal="left" vertical="center"/>
    </xf>
    <xf numFmtId="164" fontId="4" fillId="2" borderId="1" xfId="1" applyNumberFormat="1" applyFont="1" applyFill="1" applyBorder="1" applyAlignment="1">
      <alignment horizontal="center" vertical="center" wrapText="1"/>
    </xf>
    <xf numFmtId="164" fontId="4" fillId="2" borderId="2" xfId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wrapText="1"/>
    </xf>
    <xf numFmtId="0" fontId="2" fillId="0" borderId="18" xfId="0" applyFont="1" applyFill="1" applyBorder="1" applyAlignment="1">
      <alignment horizontal="center" wrapText="1"/>
    </xf>
    <xf numFmtId="0" fontId="2" fillId="0" borderId="19" xfId="0" applyFont="1" applyFill="1" applyBorder="1" applyAlignment="1">
      <alignment horizontal="center" wrapText="1"/>
    </xf>
    <xf numFmtId="164" fontId="6" fillId="8" borderId="20" xfId="1" applyNumberFormat="1" applyFont="1" applyFill="1" applyBorder="1" applyAlignment="1">
      <alignment horizontal="center" vertical="center"/>
    </xf>
    <xf numFmtId="164" fontId="6" fillId="8" borderId="6" xfId="1" applyNumberFormat="1" applyFont="1" applyFill="1" applyBorder="1" applyAlignment="1">
      <alignment horizontal="center" vertical="center"/>
    </xf>
    <xf numFmtId="0" fontId="10" fillId="0" borderId="25" xfId="0" applyFont="1" applyFill="1" applyBorder="1" applyAlignment="1">
      <alignment horizontal="right" vertical="center"/>
    </xf>
    <xf numFmtId="0" fontId="10" fillId="0" borderId="26" xfId="0" applyFont="1" applyFill="1" applyBorder="1" applyAlignment="1">
      <alignment horizontal="right" vertical="center"/>
    </xf>
    <xf numFmtId="0" fontId="10" fillId="0" borderId="27" xfId="0" applyFont="1" applyFill="1" applyBorder="1" applyAlignment="1">
      <alignment horizontal="right" vertical="center"/>
    </xf>
    <xf numFmtId="0" fontId="10" fillId="0" borderId="11" xfId="0" applyFont="1" applyFill="1" applyBorder="1" applyAlignment="1">
      <alignment horizontal="right" vertical="center"/>
    </xf>
    <xf numFmtId="0" fontId="10" fillId="0" borderId="12" xfId="0" applyFont="1" applyFill="1" applyBorder="1" applyAlignment="1">
      <alignment horizontal="right" vertical="center"/>
    </xf>
    <xf numFmtId="0" fontId="10" fillId="0" borderId="13" xfId="0" applyFont="1" applyFill="1" applyBorder="1" applyAlignment="1">
      <alignment horizontal="right" vertical="center"/>
    </xf>
    <xf numFmtId="0" fontId="2" fillId="0" borderId="17" xfId="0" applyFont="1" applyFill="1" applyBorder="1" applyAlignment="1">
      <alignment horizontal="center"/>
    </xf>
    <xf numFmtId="0" fontId="2" fillId="0" borderId="18" xfId="0" applyFont="1" applyFill="1" applyBorder="1" applyAlignment="1">
      <alignment horizontal="center"/>
    </xf>
    <xf numFmtId="0" fontId="2" fillId="0" borderId="40" xfId="0" applyFont="1" applyFill="1" applyBorder="1" applyAlignment="1">
      <alignment horizontal="center"/>
    </xf>
    <xf numFmtId="0" fontId="19" fillId="0" borderId="0" xfId="3" applyFont="1" applyAlignment="1">
      <alignment horizontal="center"/>
    </xf>
    <xf numFmtId="0" fontId="19" fillId="0" borderId="0" xfId="3" applyFont="1" applyBorder="1" applyAlignment="1">
      <alignment horizontal="center"/>
    </xf>
    <xf numFmtId="0" fontId="19" fillId="0" borderId="22" xfId="3" applyFont="1" applyBorder="1" applyAlignment="1">
      <alignment horizontal="center" vertical="center"/>
    </xf>
    <xf numFmtId="0" fontId="19" fillId="0" borderId="23" xfId="3" applyFont="1" applyBorder="1" applyAlignment="1">
      <alignment horizontal="center" vertical="center"/>
    </xf>
    <xf numFmtId="0" fontId="19" fillId="0" borderId="24" xfId="3" applyFont="1" applyBorder="1" applyAlignment="1">
      <alignment horizontal="center" vertical="center"/>
    </xf>
    <xf numFmtId="0" fontId="19" fillId="0" borderId="42" xfId="3" applyFont="1" applyFill="1" applyBorder="1" applyAlignment="1">
      <alignment horizontal="center" vertical="center" wrapText="1"/>
    </xf>
    <xf numFmtId="0" fontId="19" fillId="0" borderId="27" xfId="3" applyFont="1" applyFill="1" applyBorder="1" applyAlignment="1">
      <alignment horizontal="center" vertical="center" wrapText="1"/>
    </xf>
    <xf numFmtId="0" fontId="19" fillId="0" borderId="25" xfId="3" applyFont="1" applyBorder="1" applyAlignment="1">
      <alignment horizontal="center" vertical="center"/>
    </xf>
    <xf numFmtId="0" fontId="19" fillId="0" borderId="26" xfId="3" applyFont="1" applyBorder="1" applyAlignment="1">
      <alignment horizontal="center" vertical="center"/>
    </xf>
    <xf numFmtId="0" fontId="19" fillId="0" borderId="27" xfId="3" applyFont="1" applyBorder="1" applyAlignment="1">
      <alignment horizontal="center" vertical="center"/>
    </xf>
    <xf numFmtId="0" fontId="19" fillId="0" borderId="25" xfId="3" applyFont="1" applyFill="1" applyBorder="1" applyAlignment="1">
      <alignment horizontal="center" vertical="center" wrapText="1"/>
    </xf>
  </cellXfs>
  <cellStyles count="5">
    <cellStyle name="Comma [0]" xfId="1" builtinId="6"/>
    <cellStyle name="Comma 2" xfId="4"/>
    <cellStyle name="Normal" xfId="0" builtinId="0"/>
    <cellStyle name="Normal 2" xfId="3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46"/>
  <sheetViews>
    <sheetView workbookViewId="0">
      <selection activeCell="B79" sqref="B79:M79"/>
    </sheetView>
  </sheetViews>
  <sheetFormatPr defaultRowHeight="15" x14ac:dyDescent="0.25"/>
  <cols>
    <col min="1" max="1" width="9.140625" style="1"/>
    <col min="2" max="2" width="4.85546875" style="1" customWidth="1"/>
    <col min="3" max="3" width="17.28515625" style="1" customWidth="1"/>
    <col min="4" max="4" width="15.42578125" style="1" customWidth="1"/>
    <col min="5" max="5" width="23.7109375" style="1" bestFit="1" customWidth="1"/>
    <col min="6" max="7" width="19.140625" style="1" customWidth="1"/>
    <col min="8" max="10" width="20.140625" style="1" customWidth="1"/>
    <col min="11" max="11" width="16.5703125" style="1" bestFit="1" customWidth="1"/>
    <col min="12" max="16384" width="9.140625" style="1"/>
  </cols>
  <sheetData>
    <row r="1" spans="2:10" ht="18.75" x14ac:dyDescent="0.3">
      <c r="B1" s="467" t="s">
        <v>21</v>
      </c>
      <c r="C1" s="467"/>
      <c r="D1" s="467"/>
      <c r="E1" s="467"/>
      <c r="F1" s="467"/>
      <c r="G1" s="467"/>
      <c r="H1" s="467"/>
      <c r="I1" s="467"/>
      <c r="J1" s="467"/>
    </row>
    <row r="2" spans="2:10" ht="18.75" x14ac:dyDescent="0.3">
      <c r="B2" s="467" t="s">
        <v>425</v>
      </c>
      <c r="C2" s="467"/>
      <c r="D2" s="467"/>
      <c r="E2" s="467"/>
      <c r="F2" s="467"/>
      <c r="G2" s="467"/>
      <c r="H2" s="467"/>
      <c r="I2" s="467"/>
      <c r="J2" s="467"/>
    </row>
    <row r="3" spans="2:10" ht="18.75" x14ac:dyDescent="0.3">
      <c r="B3" s="78"/>
      <c r="C3" s="78"/>
      <c r="D3" s="78"/>
      <c r="E3" s="78"/>
      <c r="F3" s="78"/>
      <c r="G3" s="78"/>
      <c r="H3" s="78"/>
      <c r="I3" s="78"/>
      <c r="J3" s="78"/>
    </row>
    <row r="4" spans="2:10" ht="18.75" x14ac:dyDescent="0.3">
      <c r="B4" s="467" t="s">
        <v>171</v>
      </c>
      <c r="C4" s="467"/>
      <c r="D4" s="467"/>
      <c r="E4" s="467"/>
      <c r="F4" s="467"/>
      <c r="G4" s="467"/>
      <c r="H4" s="467"/>
      <c r="I4" s="467"/>
      <c r="J4" s="467"/>
    </row>
    <row r="5" spans="2:10" ht="15.75" thickBot="1" x14ac:dyDescent="0.3"/>
    <row r="6" spans="2:10" ht="15.75" customHeight="1" x14ac:dyDescent="0.25">
      <c r="B6" s="476" t="s">
        <v>0</v>
      </c>
      <c r="C6" s="476" t="s">
        <v>1</v>
      </c>
      <c r="D6" s="476" t="s">
        <v>2</v>
      </c>
      <c r="E6" s="476" t="s">
        <v>3</v>
      </c>
      <c r="F6" s="476" t="s">
        <v>14</v>
      </c>
      <c r="G6" s="476" t="s">
        <v>15</v>
      </c>
      <c r="H6" s="476" t="s">
        <v>16</v>
      </c>
      <c r="I6" s="474" t="s">
        <v>17</v>
      </c>
      <c r="J6" s="476" t="s">
        <v>20</v>
      </c>
    </row>
    <row r="7" spans="2:10" ht="15.75" thickBot="1" x14ac:dyDescent="0.3">
      <c r="B7" s="477"/>
      <c r="C7" s="477"/>
      <c r="D7" s="477"/>
      <c r="E7" s="477"/>
      <c r="F7" s="477"/>
      <c r="G7" s="477"/>
      <c r="H7" s="477"/>
      <c r="I7" s="475"/>
      <c r="J7" s="477"/>
    </row>
    <row r="8" spans="2:10" ht="15.75" thickBot="1" x14ac:dyDescent="0.3">
      <c r="B8" s="3" t="s">
        <v>4</v>
      </c>
      <c r="C8" s="3" t="s">
        <v>5</v>
      </c>
      <c r="D8" s="3" t="s">
        <v>6</v>
      </c>
      <c r="E8" s="3" t="s">
        <v>7</v>
      </c>
      <c r="F8" s="3" t="s">
        <v>8</v>
      </c>
      <c r="G8" s="3" t="s">
        <v>9</v>
      </c>
      <c r="H8" s="3" t="s">
        <v>10</v>
      </c>
      <c r="I8" s="3" t="s">
        <v>18</v>
      </c>
      <c r="J8" s="3" t="s">
        <v>19</v>
      </c>
    </row>
    <row r="9" spans="2:10" x14ac:dyDescent="0.25">
      <c r="B9" s="4"/>
      <c r="C9" s="4"/>
      <c r="D9" s="4"/>
      <c r="E9" s="4"/>
      <c r="F9" s="4"/>
      <c r="G9" s="4"/>
      <c r="H9" s="4"/>
      <c r="I9" s="4"/>
      <c r="J9" s="4"/>
    </row>
    <row r="10" spans="2:10" x14ac:dyDescent="0.25">
      <c r="B10" s="6">
        <v>1</v>
      </c>
      <c r="C10" s="6" t="s">
        <v>11</v>
      </c>
      <c r="D10" s="6" t="s">
        <v>12</v>
      </c>
      <c r="E10" s="6" t="s">
        <v>13</v>
      </c>
      <c r="F10" s="7">
        <v>2131323000</v>
      </c>
      <c r="G10" s="7">
        <v>639396000</v>
      </c>
      <c r="H10" s="7">
        <f>OMSPAN!N21</f>
        <v>530385300</v>
      </c>
      <c r="I10" s="5">
        <f>G10-H10</f>
        <v>109010700</v>
      </c>
      <c r="J10" s="11">
        <f>H10/G10</f>
        <v>0.82950988120038283</v>
      </c>
    </row>
    <row r="11" spans="2:10" x14ac:dyDescent="0.25">
      <c r="B11" s="6"/>
      <c r="C11" s="6"/>
      <c r="D11" s="6"/>
      <c r="E11" s="6"/>
      <c r="F11" s="7"/>
      <c r="G11" s="7"/>
      <c r="H11" s="8"/>
      <c r="I11" s="10"/>
      <c r="J11" s="8"/>
    </row>
    <row r="12" spans="2:10" ht="15.75" thickBot="1" x14ac:dyDescent="0.3">
      <c r="B12" s="9"/>
      <c r="C12" s="9"/>
      <c r="D12" s="9"/>
      <c r="E12" s="9"/>
      <c r="F12" s="9"/>
      <c r="G12" s="9"/>
      <c r="H12" s="9"/>
      <c r="I12" s="9"/>
      <c r="J12" s="9"/>
    </row>
    <row r="13" spans="2:10" x14ac:dyDescent="0.25">
      <c r="B13" s="80"/>
      <c r="C13" s="80"/>
      <c r="D13" s="80"/>
      <c r="E13" s="80"/>
      <c r="F13" s="80"/>
      <c r="G13" s="80"/>
      <c r="H13" s="80"/>
      <c r="I13" s="80"/>
      <c r="J13" s="80"/>
    </row>
    <row r="14" spans="2:10" x14ac:dyDescent="0.25">
      <c r="B14" s="80"/>
      <c r="C14" s="80"/>
      <c r="D14" s="80"/>
      <c r="E14" s="80"/>
      <c r="F14" s="80"/>
      <c r="G14" s="80"/>
      <c r="H14" s="80"/>
      <c r="I14" s="80"/>
      <c r="J14" s="80"/>
    </row>
    <row r="15" spans="2:10" ht="18.75" x14ac:dyDescent="0.3">
      <c r="B15" s="467" t="s">
        <v>172</v>
      </c>
      <c r="C15" s="467"/>
      <c r="D15" s="467"/>
      <c r="E15" s="467"/>
      <c r="F15" s="467"/>
      <c r="G15" s="467"/>
      <c r="H15" s="467"/>
      <c r="I15" s="467"/>
      <c r="J15" s="467"/>
    </row>
    <row r="16" spans="2:10" ht="15.75" thickBot="1" x14ac:dyDescent="0.3"/>
    <row r="17" spans="2:10" ht="15.75" customHeight="1" x14ac:dyDescent="0.25">
      <c r="B17" s="476" t="s">
        <v>0</v>
      </c>
      <c r="C17" s="476" t="s">
        <v>1</v>
      </c>
      <c r="D17" s="476" t="s">
        <v>2</v>
      </c>
      <c r="E17" s="476" t="s">
        <v>3</v>
      </c>
      <c r="F17" s="476" t="s">
        <v>14</v>
      </c>
      <c r="G17" s="476" t="s">
        <v>169</v>
      </c>
      <c r="H17" s="476" t="s">
        <v>16</v>
      </c>
      <c r="I17" s="474" t="s">
        <v>170</v>
      </c>
      <c r="J17" s="476" t="s">
        <v>20</v>
      </c>
    </row>
    <row r="18" spans="2:10" ht="15.75" thickBot="1" x14ac:dyDescent="0.3">
      <c r="B18" s="477"/>
      <c r="C18" s="477"/>
      <c r="D18" s="477"/>
      <c r="E18" s="477"/>
      <c r="F18" s="477"/>
      <c r="G18" s="477"/>
      <c r="H18" s="477"/>
      <c r="I18" s="475"/>
      <c r="J18" s="477"/>
    </row>
    <row r="19" spans="2:10" ht="15.75" thickBot="1" x14ac:dyDescent="0.3">
      <c r="B19" s="3" t="s">
        <v>4</v>
      </c>
      <c r="C19" s="3" t="s">
        <v>5</v>
      </c>
      <c r="D19" s="3" t="s">
        <v>6</v>
      </c>
      <c r="E19" s="3" t="s">
        <v>7</v>
      </c>
      <c r="F19" s="3" t="s">
        <v>8</v>
      </c>
      <c r="G19" s="3" t="s">
        <v>9</v>
      </c>
      <c r="H19" s="3" t="s">
        <v>10</v>
      </c>
      <c r="I19" s="3" t="s">
        <v>18</v>
      </c>
      <c r="J19" s="3" t="s">
        <v>19</v>
      </c>
    </row>
    <row r="20" spans="2:10" x14ac:dyDescent="0.25">
      <c r="B20" s="4"/>
      <c r="C20" s="4"/>
      <c r="D20" s="4"/>
      <c r="E20" s="4"/>
      <c r="F20" s="4"/>
      <c r="G20" s="4"/>
      <c r="H20" s="4"/>
      <c r="I20" s="4"/>
      <c r="J20" s="4"/>
    </row>
    <row r="21" spans="2:10" x14ac:dyDescent="0.25">
      <c r="B21" s="6">
        <v>1</v>
      </c>
      <c r="C21" s="6" t="s">
        <v>11</v>
      </c>
      <c r="D21" s="6" t="s">
        <v>12</v>
      </c>
      <c r="E21" s="6" t="s">
        <v>13</v>
      </c>
      <c r="F21" s="7">
        <v>2131323000</v>
      </c>
      <c r="G21" s="7">
        <f>532830750+I10</f>
        <v>641841450</v>
      </c>
      <c r="H21" s="7">
        <f>OMSPAN!N51</f>
        <v>569056400</v>
      </c>
      <c r="I21" s="5">
        <f>G21-H21</f>
        <v>72785050</v>
      </c>
      <c r="J21" s="11">
        <f>H21/G21</f>
        <v>0.88659964232599808</v>
      </c>
    </row>
    <row r="22" spans="2:10" x14ac:dyDescent="0.25">
      <c r="B22" s="6"/>
      <c r="C22" s="6"/>
      <c r="D22" s="6"/>
      <c r="E22" s="6"/>
      <c r="F22" s="7"/>
      <c r="G22" s="7"/>
      <c r="H22" s="8"/>
      <c r="I22" s="10"/>
      <c r="J22" s="8"/>
    </row>
    <row r="23" spans="2:10" ht="15.75" thickBot="1" x14ac:dyDescent="0.3">
      <c r="B23" s="9"/>
      <c r="C23" s="9"/>
      <c r="D23" s="9"/>
      <c r="E23" s="9"/>
      <c r="F23" s="9"/>
      <c r="G23" s="9"/>
      <c r="H23" s="9"/>
      <c r="I23" s="9"/>
      <c r="J23" s="9"/>
    </row>
    <row r="25" spans="2:10" ht="18.75" x14ac:dyDescent="0.3">
      <c r="B25" s="467" t="s">
        <v>309</v>
      </c>
      <c r="C25" s="467"/>
      <c r="D25" s="467"/>
      <c r="E25" s="467"/>
      <c r="F25" s="467"/>
      <c r="G25" s="467"/>
      <c r="H25" s="467"/>
      <c r="I25" s="467"/>
      <c r="J25" s="467"/>
    </row>
    <row r="26" spans="2:10" ht="15.75" thickBot="1" x14ac:dyDescent="0.3"/>
    <row r="27" spans="2:10" ht="15.75" customHeight="1" x14ac:dyDescent="0.25">
      <c r="B27" s="476" t="s">
        <v>0</v>
      </c>
      <c r="C27" s="476" t="s">
        <v>1</v>
      </c>
      <c r="D27" s="476" t="s">
        <v>2</v>
      </c>
      <c r="E27" s="476" t="s">
        <v>3</v>
      </c>
      <c r="F27" s="476" t="s">
        <v>14</v>
      </c>
      <c r="G27" s="476" t="s">
        <v>310</v>
      </c>
      <c r="H27" s="476" t="s">
        <v>16</v>
      </c>
      <c r="I27" s="474" t="s">
        <v>311</v>
      </c>
      <c r="J27" s="476" t="s">
        <v>20</v>
      </c>
    </row>
    <row r="28" spans="2:10" ht="15.75" thickBot="1" x14ac:dyDescent="0.3">
      <c r="B28" s="477"/>
      <c r="C28" s="477"/>
      <c r="D28" s="477"/>
      <c r="E28" s="477"/>
      <c r="F28" s="477"/>
      <c r="G28" s="477"/>
      <c r="H28" s="477"/>
      <c r="I28" s="475"/>
      <c r="J28" s="477"/>
    </row>
    <row r="29" spans="2:10" ht="15.75" thickBot="1" x14ac:dyDescent="0.3">
      <c r="B29" s="3" t="s">
        <v>4</v>
      </c>
      <c r="C29" s="3" t="s">
        <v>5</v>
      </c>
      <c r="D29" s="3" t="s">
        <v>6</v>
      </c>
      <c r="E29" s="3" t="s">
        <v>7</v>
      </c>
      <c r="F29" s="3" t="s">
        <v>8</v>
      </c>
      <c r="G29" s="3" t="s">
        <v>9</v>
      </c>
      <c r="H29" s="3" t="s">
        <v>10</v>
      </c>
      <c r="I29" s="3" t="s">
        <v>18</v>
      </c>
      <c r="J29" s="3" t="s">
        <v>19</v>
      </c>
    </row>
    <row r="30" spans="2:10" x14ac:dyDescent="0.25">
      <c r="B30" s="4"/>
      <c r="C30" s="4"/>
      <c r="D30" s="4"/>
      <c r="E30" s="4"/>
      <c r="F30" s="4"/>
      <c r="G30" s="4"/>
      <c r="H30" s="4"/>
      <c r="I30" s="4"/>
      <c r="J30" s="4"/>
    </row>
    <row r="31" spans="2:10" x14ac:dyDescent="0.25">
      <c r="B31" s="6">
        <v>1</v>
      </c>
      <c r="C31" s="6" t="s">
        <v>11</v>
      </c>
      <c r="D31" s="6" t="s">
        <v>12</v>
      </c>
      <c r="E31" s="6" t="s">
        <v>13</v>
      </c>
      <c r="F31" s="7">
        <v>2131323000</v>
      </c>
      <c r="G31" s="7">
        <f>532830750+I21</f>
        <v>605615800</v>
      </c>
      <c r="H31" s="7">
        <f>OMSPAN!N79</f>
        <v>599536300</v>
      </c>
      <c r="I31" s="5">
        <f>G31-H31</f>
        <v>6079500</v>
      </c>
      <c r="J31" s="11">
        <f>H31/G31</f>
        <v>0.98996145741243868</v>
      </c>
    </row>
    <row r="32" spans="2:10" x14ac:dyDescent="0.25">
      <c r="B32" s="6"/>
      <c r="C32" s="6"/>
      <c r="D32" s="6"/>
      <c r="E32" s="6"/>
      <c r="F32" s="7"/>
      <c r="G32" s="7"/>
      <c r="H32" s="8"/>
      <c r="I32" s="10"/>
      <c r="J32" s="8"/>
    </row>
    <row r="33" spans="2:11" ht="15.75" thickBot="1" x14ac:dyDescent="0.3">
      <c r="B33" s="9"/>
      <c r="C33" s="9"/>
      <c r="D33" s="9"/>
      <c r="E33" s="9"/>
      <c r="F33" s="9"/>
      <c r="G33" s="9"/>
      <c r="H33" s="9"/>
      <c r="I33" s="9"/>
      <c r="J33" s="9"/>
    </row>
    <row r="34" spans="2:11" x14ac:dyDescent="0.25">
      <c r="B34" s="80"/>
      <c r="C34" s="80"/>
      <c r="D34" s="80"/>
      <c r="E34" s="80"/>
      <c r="F34" s="80"/>
      <c r="G34" s="80"/>
      <c r="H34" s="80"/>
      <c r="I34" s="80"/>
      <c r="J34" s="80"/>
    </row>
    <row r="35" spans="2:11" x14ac:dyDescent="0.25">
      <c r="B35" s="80"/>
      <c r="C35" s="80"/>
      <c r="D35" s="80"/>
      <c r="E35" s="80"/>
      <c r="F35" s="80"/>
      <c r="G35" s="80"/>
      <c r="H35" s="80"/>
      <c r="I35" s="80"/>
      <c r="J35" s="80"/>
    </row>
    <row r="36" spans="2:11" ht="18.75" x14ac:dyDescent="0.3">
      <c r="B36" s="467" t="s">
        <v>22</v>
      </c>
      <c r="C36" s="467"/>
      <c r="D36" s="467"/>
      <c r="E36" s="467"/>
      <c r="F36" s="467"/>
      <c r="G36" s="467"/>
      <c r="H36" s="467"/>
      <c r="I36" s="467"/>
      <c r="J36" s="467"/>
      <c r="K36" s="73">
        <f>H31+H21+H10</f>
        <v>1698978000</v>
      </c>
    </row>
    <row r="37" spans="2:11" ht="15.75" thickBot="1" x14ac:dyDescent="0.3"/>
    <row r="38" spans="2:11" ht="15.75" thickBot="1" x14ac:dyDescent="0.3">
      <c r="B38" s="478" t="s">
        <v>0</v>
      </c>
      <c r="C38" s="2" t="s">
        <v>2</v>
      </c>
      <c r="D38" s="484" t="s">
        <v>3</v>
      </c>
      <c r="E38" s="480"/>
      <c r="F38" s="480" t="s">
        <v>24</v>
      </c>
      <c r="G38" s="480"/>
      <c r="H38" s="480"/>
      <c r="I38" s="481"/>
      <c r="J38" s="478" t="s">
        <v>25</v>
      </c>
    </row>
    <row r="39" spans="2:11" ht="15.75" thickBot="1" x14ac:dyDescent="0.3">
      <c r="B39" s="479"/>
      <c r="C39" s="2" t="s">
        <v>23</v>
      </c>
      <c r="D39" s="485"/>
      <c r="E39" s="482"/>
      <c r="F39" s="482"/>
      <c r="G39" s="482"/>
      <c r="H39" s="482"/>
      <c r="I39" s="483"/>
      <c r="J39" s="479"/>
    </row>
    <row r="40" spans="2:11" x14ac:dyDescent="0.25">
      <c r="B40" s="21"/>
      <c r="C40" s="21"/>
      <c r="D40" s="12"/>
      <c r="E40" s="14"/>
      <c r="F40" s="12"/>
      <c r="G40" s="13"/>
      <c r="H40" s="13"/>
      <c r="I40" s="14"/>
      <c r="J40" s="14"/>
    </row>
    <row r="41" spans="2:11" x14ac:dyDescent="0.25">
      <c r="B41" s="22">
        <v>1</v>
      </c>
      <c r="C41" s="22" t="s">
        <v>23</v>
      </c>
      <c r="D41" s="468" t="s">
        <v>13</v>
      </c>
      <c r="E41" s="469"/>
      <c r="F41" s="470" t="s">
        <v>312</v>
      </c>
      <c r="G41" s="471"/>
      <c r="H41" s="471"/>
      <c r="I41" s="472"/>
      <c r="J41" s="15"/>
    </row>
    <row r="42" spans="2:11" x14ac:dyDescent="0.25">
      <c r="B42" s="23"/>
      <c r="C42" s="23"/>
      <c r="D42" s="16"/>
      <c r="E42" s="15"/>
      <c r="F42" s="473"/>
      <c r="G42" s="471"/>
      <c r="H42" s="471"/>
      <c r="I42" s="472"/>
      <c r="J42" s="15"/>
    </row>
    <row r="43" spans="2:11" x14ac:dyDescent="0.25">
      <c r="B43" s="23"/>
      <c r="C43" s="23"/>
      <c r="D43" s="16"/>
      <c r="E43" s="15"/>
      <c r="F43" s="16"/>
      <c r="G43" s="17"/>
      <c r="H43" s="17"/>
      <c r="I43" s="15"/>
      <c r="J43" s="15"/>
    </row>
    <row r="44" spans="2:11" x14ac:dyDescent="0.25">
      <c r="B44" s="23"/>
      <c r="C44" s="23"/>
      <c r="D44" s="16"/>
      <c r="E44" s="15"/>
      <c r="F44" s="16"/>
      <c r="G44" s="17"/>
      <c r="H44" s="17"/>
      <c r="I44" s="15"/>
      <c r="J44" s="15"/>
    </row>
    <row r="45" spans="2:11" x14ac:dyDescent="0.25">
      <c r="B45" s="23"/>
      <c r="C45" s="23"/>
      <c r="D45" s="16"/>
      <c r="E45" s="15"/>
      <c r="F45" s="16"/>
      <c r="G45" s="17"/>
      <c r="H45" s="17"/>
      <c r="I45" s="15"/>
      <c r="J45" s="15"/>
    </row>
    <row r="46" spans="2:11" ht="15.75" thickBot="1" x14ac:dyDescent="0.3">
      <c r="B46" s="24"/>
      <c r="C46" s="24"/>
      <c r="D46" s="18"/>
      <c r="E46" s="20"/>
      <c r="F46" s="18"/>
      <c r="G46" s="19"/>
      <c r="H46" s="19"/>
      <c r="I46" s="20"/>
      <c r="J46" s="20"/>
    </row>
  </sheetData>
  <mergeCells count="40">
    <mergeCell ref="B25:J25"/>
    <mergeCell ref="B27:B28"/>
    <mergeCell ref="C27:C28"/>
    <mergeCell ref="D27:D28"/>
    <mergeCell ref="E27:E28"/>
    <mergeCell ref="F27:F28"/>
    <mergeCell ref="G27:G28"/>
    <mergeCell ref="H27:H28"/>
    <mergeCell ref="I27:I28"/>
    <mergeCell ref="J27:J28"/>
    <mergeCell ref="G6:G7"/>
    <mergeCell ref="H6:H7"/>
    <mergeCell ref="B2:J2"/>
    <mergeCell ref="B1:J1"/>
    <mergeCell ref="H17:H18"/>
    <mergeCell ref="I17:I18"/>
    <mergeCell ref="J17:J18"/>
    <mergeCell ref="B4:J4"/>
    <mergeCell ref="B15:J15"/>
    <mergeCell ref="B6:B7"/>
    <mergeCell ref="C6:C7"/>
    <mergeCell ref="D6:D7"/>
    <mergeCell ref="E6:E7"/>
    <mergeCell ref="F6:F7"/>
    <mergeCell ref="B36:J36"/>
    <mergeCell ref="D41:E41"/>
    <mergeCell ref="F41:I41"/>
    <mergeCell ref="F42:I42"/>
    <mergeCell ref="I6:I7"/>
    <mergeCell ref="J6:J7"/>
    <mergeCell ref="B38:B39"/>
    <mergeCell ref="J38:J39"/>
    <mergeCell ref="F38:I39"/>
    <mergeCell ref="D38:E39"/>
    <mergeCell ref="B17:B18"/>
    <mergeCell ref="C17:C18"/>
    <mergeCell ref="D17:D18"/>
    <mergeCell ref="E17:E18"/>
    <mergeCell ref="F17:F18"/>
    <mergeCell ref="G17:G18"/>
  </mergeCells>
  <pageMargins left="0.2" right="0.2" top="0.5" bottom="0.6" header="0.3" footer="0.3"/>
  <pageSetup paperSize="1000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81"/>
  <sheetViews>
    <sheetView topLeftCell="F48" workbookViewId="0">
      <selection activeCell="B79" sqref="B79:M79"/>
    </sheetView>
  </sheetViews>
  <sheetFormatPr defaultRowHeight="15" x14ac:dyDescent="0.25"/>
  <cols>
    <col min="2" max="2" width="4.140625" customWidth="1"/>
    <col min="3" max="3" width="13.5703125" customWidth="1"/>
    <col min="4" max="4" width="14.7109375" customWidth="1"/>
    <col min="5" max="5" width="16.5703125" customWidth="1"/>
    <col min="6" max="6" width="27.28515625" customWidth="1"/>
    <col min="7" max="7" width="17.140625" customWidth="1"/>
    <col min="8" max="8" width="16.28515625" bestFit="1" customWidth="1"/>
    <col min="9" max="9" width="20.5703125" customWidth="1"/>
    <col min="10" max="10" width="25.140625" customWidth="1"/>
    <col min="11" max="11" width="25.5703125" customWidth="1"/>
    <col min="12" max="12" width="23" customWidth="1"/>
    <col min="13" max="13" width="14.42578125" customWidth="1"/>
    <col min="14" max="14" width="17.7109375" bestFit="1" customWidth="1"/>
    <col min="15" max="15" width="8" customWidth="1"/>
    <col min="16" max="16" width="16.5703125" bestFit="1" customWidth="1"/>
  </cols>
  <sheetData>
    <row r="1" spans="2:15" ht="18.75" x14ac:dyDescent="0.3">
      <c r="B1" s="494" t="s">
        <v>66</v>
      </c>
      <c r="C1" s="494"/>
      <c r="D1" s="494"/>
      <c r="E1" s="494"/>
      <c r="F1" s="494"/>
      <c r="G1" s="494"/>
      <c r="H1" s="494"/>
      <c r="I1" s="494"/>
      <c r="J1" s="494"/>
      <c r="K1" s="494"/>
      <c r="L1" s="494"/>
      <c r="M1" s="494"/>
      <c r="N1" s="494"/>
      <c r="O1" s="494"/>
    </row>
    <row r="3" spans="2:15" ht="18.75" x14ac:dyDescent="0.3">
      <c r="B3" s="494" t="s">
        <v>171</v>
      </c>
      <c r="C3" s="494"/>
      <c r="D3" s="494"/>
      <c r="E3" s="494"/>
      <c r="F3" s="494"/>
      <c r="G3" s="494"/>
      <c r="H3" s="494"/>
      <c r="I3" s="494"/>
      <c r="J3" s="494"/>
      <c r="K3" s="494"/>
      <c r="L3" s="494"/>
      <c r="M3" s="494"/>
      <c r="N3" s="494"/>
      <c r="O3" s="494"/>
    </row>
    <row r="4" spans="2:15" x14ac:dyDescent="0.25">
      <c r="B4" s="81"/>
    </row>
    <row r="5" spans="2:15" s="33" customFormat="1" ht="30" x14ac:dyDescent="0.25">
      <c r="B5" s="79" t="s">
        <v>26</v>
      </c>
      <c r="C5" s="32" t="s">
        <v>67</v>
      </c>
      <c r="D5" s="32" t="s">
        <v>69</v>
      </c>
      <c r="E5" s="31" t="s">
        <v>72</v>
      </c>
      <c r="F5" s="79" t="s">
        <v>182</v>
      </c>
      <c r="G5" s="32" t="s">
        <v>74</v>
      </c>
      <c r="H5" s="31" t="s">
        <v>75</v>
      </c>
      <c r="I5" s="31" t="s">
        <v>77</v>
      </c>
      <c r="J5" s="31" t="s">
        <v>27</v>
      </c>
      <c r="K5" s="31" t="s">
        <v>28</v>
      </c>
      <c r="L5" s="31" t="s">
        <v>29</v>
      </c>
      <c r="M5" s="31" t="s">
        <v>30</v>
      </c>
      <c r="N5" s="31" t="s">
        <v>78</v>
      </c>
      <c r="O5" s="31" t="s">
        <v>32</v>
      </c>
    </row>
    <row r="6" spans="2:15" x14ac:dyDescent="0.25"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</row>
    <row r="7" spans="2:15" ht="60" x14ac:dyDescent="0.25">
      <c r="B7" s="26">
        <v>1</v>
      </c>
      <c r="C7" s="26" t="s">
        <v>68</v>
      </c>
      <c r="D7" s="26" t="s">
        <v>70</v>
      </c>
      <c r="E7" s="26" t="s">
        <v>73</v>
      </c>
      <c r="F7" s="26" t="s">
        <v>91</v>
      </c>
      <c r="G7" s="34">
        <v>139772000</v>
      </c>
      <c r="H7" s="27" t="s">
        <v>35</v>
      </c>
      <c r="I7" s="27" t="s">
        <v>33</v>
      </c>
      <c r="J7" s="27" t="s">
        <v>185</v>
      </c>
      <c r="K7" s="27" t="s">
        <v>199</v>
      </c>
      <c r="L7" s="27" t="s">
        <v>34</v>
      </c>
      <c r="M7" s="27" t="s">
        <v>36</v>
      </c>
      <c r="N7" s="34">
        <v>41931600</v>
      </c>
      <c r="O7" s="36" t="s">
        <v>79</v>
      </c>
    </row>
    <row r="8" spans="2:15" ht="60" x14ac:dyDescent="0.25">
      <c r="B8" s="26">
        <v>2</v>
      </c>
      <c r="C8" s="26" t="s">
        <v>68</v>
      </c>
      <c r="D8" s="26" t="s">
        <v>70</v>
      </c>
      <c r="E8" s="26" t="s">
        <v>73</v>
      </c>
      <c r="F8" s="26" t="s">
        <v>90</v>
      </c>
      <c r="G8" s="34">
        <v>139400000</v>
      </c>
      <c r="H8" s="27" t="s">
        <v>38</v>
      </c>
      <c r="I8" s="27" t="s">
        <v>33</v>
      </c>
      <c r="J8" s="27" t="s">
        <v>186</v>
      </c>
      <c r="K8" s="27" t="s">
        <v>200</v>
      </c>
      <c r="L8" s="27" t="s">
        <v>37</v>
      </c>
      <c r="M8" s="27" t="s">
        <v>36</v>
      </c>
      <c r="N8" s="34">
        <v>41820000</v>
      </c>
      <c r="O8" s="36" t="s">
        <v>79</v>
      </c>
    </row>
    <row r="9" spans="2:15" ht="60" x14ac:dyDescent="0.25">
      <c r="B9" s="26">
        <v>3</v>
      </c>
      <c r="C9" s="26" t="s">
        <v>68</v>
      </c>
      <c r="D9" s="26" t="s">
        <v>70</v>
      </c>
      <c r="E9" s="26" t="s">
        <v>73</v>
      </c>
      <c r="F9" s="26" t="s">
        <v>89</v>
      </c>
      <c r="G9" s="34">
        <v>139739000</v>
      </c>
      <c r="H9" s="27" t="s">
        <v>40</v>
      </c>
      <c r="I9" s="27" t="s">
        <v>33</v>
      </c>
      <c r="J9" s="27" t="s">
        <v>187</v>
      </c>
      <c r="K9" s="27" t="s">
        <v>201</v>
      </c>
      <c r="L9" s="27" t="s">
        <v>39</v>
      </c>
      <c r="M9" s="27" t="s">
        <v>36</v>
      </c>
      <c r="N9" s="34">
        <v>41921700</v>
      </c>
      <c r="O9" s="36" t="s">
        <v>79</v>
      </c>
    </row>
    <row r="10" spans="2:15" ht="60" x14ac:dyDescent="0.25">
      <c r="B10" s="26">
        <v>4</v>
      </c>
      <c r="C10" s="26" t="s">
        <v>68</v>
      </c>
      <c r="D10" s="26" t="s">
        <v>70</v>
      </c>
      <c r="E10" s="26" t="s">
        <v>73</v>
      </c>
      <c r="F10" s="26" t="s">
        <v>92</v>
      </c>
      <c r="G10" s="34">
        <v>139319000</v>
      </c>
      <c r="H10" s="27" t="s">
        <v>45</v>
      </c>
      <c r="I10" s="27" t="s">
        <v>33</v>
      </c>
      <c r="J10" s="27" t="s">
        <v>188</v>
      </c>
      <c r="K10" s="27" t="s">
        <v>202</v>
      </c>
      <c r="L10" s="27" t="s">
        <v>44</v>
      </c>
      <c r="M10" s="27" t="s">
        <v>36</v>
      </c>
      <c r="N10" s="34">
        <v>41795700</v>
      </c>
      <c r="O10" s="36" t="s">
        <v>79</v>
      </c>
    </row>
    <row r="11" spans="2:15" ht="60" x14ac:dyDescent="0.25">
      <c r="B11" s="26">
        <v>5</v>
      </c>
      <c r="C11" s="26" t="s">
        <v>68</v>
      </c>
      <c r="D11" s="26" t="s">
        <v>70</v>
      </c>
      <c r="E11" s="26" t="s">
        <v>73</v>
      </c>
      <c r="F11" s="26" t="s">
        <v>93</v>
      </c>
      <c r="G11" s="34">
        <v>139500000</v>
      </c>
      <c r="H11" s="27" t="s">
        <v>47</v>
      </c>
      <c r="I11" s="27" t="s">
        <v>33</v>
      </c>
      <c r="J11" s="27" t="s">
        <v>189</v>
      </c>
      <c r="K11" s="27" t="s">
        <v>203</v>
      </c>
      <c r="L11" s="27" t="s">
        <v>46</v>
      </c>
      <c r="M11" s="27" t="s">
        <v>36</v>
      </c>
      <c r="N11" s="34">
        <v>41850000</v>
      </c>
      <c r="O11" s="36" t="s">
        <v>79</v>
      </c>
    </row>
    <row r="12" spans="2:15" ht="45" x14ac:dyDescent="0.25">
      <c r="B12" s="26">
        <v>6</v>
      </c>
      <c r="C12" s="26" t="s">
        <v>68</v>
      </c>
      <c r="D12" s="26" t="s">
        <v>71</v>
      </c>
      <c r="E12" s="26" t="s">
        <v>73</v>
      </c>
      <c r="F12" s="26" t="s">
        <v>88</v>
      </c>
      <c r="G12" s="34">
        <v>27750000</v>
      </c>
      <c r="H12" s="27" t="s">
        <v>42</v>
      </c>
      <c r="I12" s="27" t="s">
        <v>33</v>
      </c>
      <c r="J12" s="27" t="s">
        <v>190</v>
      </c>
      <c r="K12" s="27" t="s">
        <v>204</v>
      </c>
      <c r="L12" s="27" t="s">
        <v>41</v>
      </c>
      <c r="M12" s="27" t="s">
        <v>43</v>
      </c>
      <c r="N12" s="34">
        <v>27750000</v>
      </c>
      <c r="O12" s="36" t="s">
        <v>79</v>
      </c>
    </row>
    <row r="13" spans="2:15" ht="36" customHeight="1" x14ac:dyDescent="0.25">
      <c r="B13" s="26">
        <v>7</v>
      </c>
      <c r="C13" s="26" t="s">
        <v>68</v>
      </c>
      <c r="D13" s="26" t="s">
        <v>71</v>
      </c>
      <c r="E13" s="26" t="s">
        <v>80</v>
      </c>
      <c r="F13" s="37" t="s">
        <v>94</v>
      </c>
      <c r="G13" s="34">
        <v>9900000</v>
      </c>
      <c r="H13" s="27" t="s">
        <v>50</v>
      </c>
      <c r="I13" s="27" t="s">
        <v>48</v>
      </c>
      <c r="J13" s="27" t="s">
        <v>191</v>
      </c>
      <c r="K13" s="27" t="s">
        <v>205</v>
      </c>
      <c r="L13" s="27" t="s">
        <v>49</v>
      </c>
      <c r="M13" s="27" t="s">
        <v>51</v>
      </c>
      <c r="N13" s="34">
        <v>9900000</v>
      </c>
      <c r="O13" s="36" t="s">
        <v>79</v>
      </c>
    </row>
    <row r="14" spans="2:15" ht="60" x14ac:dyDescent="0.25">
      <c r="B14" s="26">
        <v>8</v>
      </c>
      <c r="C14" s="26" t="s">
        <v>68</v>
      </c>
      <c r="D14" s="26" t="s">
        <v>71</v>
      </c>
      <c r="E14" s="26" t="s">
        <v>80</v>
      </c>
      <c r="F14" s="37" t="s">
        <v>95</v>
      </c>
      <c r="G14" s="34">
        <v>4675000</v>
      </c>
      <c r="H14" s="27" t="s">
        <v>50</v>
      </c>
      <c r="I14" s="27" t="s">
        <v>48</v>
      </c>
      <c r="J14" s="27" t="s">
        <v>192</v>
      </c>
      <c r="K14" s="27" t="s">
        <v>206</v>
      </c>
      <c r="L14" s="27" t="s">
        <v>52</v>
      </c>
      <c r="M14" s="27" t="s">
        <v>53</v>
      </c>
      <c r="N14" s="34">
        <v>4675000</v>
      </c>
      <c r="O14" s="36" t="s">
        <v>79</v>
      </c>
    </row>
    <row r="15" spans="2:15" ht="45" x14ac:dyDescent="0.25">
      <c r="B15" s="26">
        <v>9</v>
      </c>
      <c r="C15" s="26" t="s">
        <v>68</v>
      </c>
      <c r="D15" s="26" t="s">
        <v>70</v>
      </c>
      <c r="E15" s="26" t="s">
        <v>73</v>
      </c>
      <c r="F15" s="26" t="s">
        <v>82</v>
      </c>
      <c r="G15" s="34">
        <v>61472000</v>
      </c>
      <c r="H15" s="27" t="s">
        <v>45</v>
      </c>
      <c r="I15" s="27" t="s">
        <v>48</v>
      </c>
      <c r="J15" s="27" t="s">
        <v>193</v>
      </c>
      <c r="K15" s="27" t="s">
        <v>207</v>
      </c>
      <c r="L15" s="27" t="s">
        <v>54</v>
      </c>
      <c r="M15" s="27" t="s">
        <v>55</v>
      </c>
      <c r="N15" s="34">
        <v>18441600</v>
      </c>
      <c r="O15" s="36" t="s">
        <v>79</v>
      </c>
    </row>
    <row r="16" spans="2:15" ht="66" customHeight="1" x14ac:dyDescent="0.25">
      <c r="B16" s="26">
        <v>10</v>
      </c>
      <c r="C16" s="26" t="s">
        <v>68</v>
      </c>
      <c r="D16" s="26" t="s">
        <v>70</v>
      </c>
      <c r="E16" s="26" t="s">
        <v>73</v>
      </c>
      <c r="F16" s="26" t="s">
        <v>83</v>
      </c>
      <c r="G16" s="34">
        <v>191859000</v>
      </c>
      <c r="H16" s="27" t="s">
        <v>76</v>
      </c>
      <c r="I16" s="27" t="s">
        <v>48</v>
      </c>
      <c r="J16" s="27" t="s">
        <v>194</v>
      </c>
      <c r="K16" s="27" t="s">
        <v>208</v>
      </c>
      <c r="L16" s="27" t="s">
        <v>144</v>
      </c>
      <c r="M16" s="27" t="s">
        <v>56</v>
      </c>
      <c r="N16" s="34">
        <v>57557700</v>
      </c>
      <c r="O16" s="36" t="s">
        <v>79</v>
      </c>
    </row>
    <row r="17" spans="2:15" ht="82.5" customHeight="1" x14ac:dyDescent="0.25">
      <c r="B17" s="26">
        <v>11</v>
      </c>
      <c r="C17" s="26" t="s">
        <v>68</v>
      </c>
      <c r="D17" s="26" t="s">
        <v>71</v>
      </c>
      <c r="E17" s="26" t="s">
        <v>73</v>
      </c>
      <c r="F17" s="26" t="s">
        <v>84</v>
      </c>
      <c r="G17" s="34">
        <v>98670000</v>
      </c>
      <c r="H17" s="27" t="s">
        <v>57</v>
      </c>
      <c r="I17" s="27" t="s">
        <v>48</v>
      </c>
      <c r="J17" s="27" t="s">
        <v>195</v>
      </c>
      <c r="K17" s="27" t="s">
        <v>209</v>
      </c>
      <c r="L17" s="27" t="s">
        <v>157</v>
      </c>
      <c r="M17" s="27" t="s">
        <v>58</v>
      </c>
      <c r="N17" s="34">
        <v>98670000</v>
      </c>
      <c r="O17" s="36" t="s">
        <v>79</v>
      </c>
    </row>
    <row r="18" spans="2:15" ht="51" customHeight="1" x14ac:dyDescent="0.25">
      <c r="B18" s="26">
        <v>12</v>
      </c>
      <c r="C18" s="26" t="s">
        <v>68</v>
      </c>
      <c r="D18" s="26" t="s">
        <v>71</v>
      </c>
      <c r="E18" s="26" t="s">
        <v>73</v>
      </c>
      <c r="F18" s="26" t="s">
        <v>85</v>
      </c>
      <c r="G18" s="34">
        <v>7316000</v>
      </c>
      <c r="H18" s="27" t="s">
        <v>59</v>
      </c>
      <c r="I18" s="27" t="s">
        <v>48</v>
      </c>
      <c r="J18" s="27" t="s">
        <v>196</v>
      </c>
      <c r="K18" s="27" t="s">
        <v>210</v>
      </c>
      <c r="L18" s="27" t="s">
        <v>145</v>
      </c>
      <c r="M18" s="27" t="s">
        <v>60</v>
      </c>
      <c r="N18" s="34">
        <v>7316000</v>
      </c>
      <c r="O18" s="36" t="s">
        <v>79</v>
      </c>
    </row>
    <row r="19" spans="2:15" ht="54.75" customHeight="1" x14ac:dyDescent="0.25">
      <c r="B19" s="26">
        <v>13</v>
      </c>
      <c r="C19" s="26" t="s">
        <v>68</v>
      </c>
      <c r="D19" s="26" t="s">
        <v>71</v>
      </c>
      <c r="E19" s="26" t="s">
        <v>73</v>
      </c>
      <c r="F19" s="26" t="s">
        <v>86</v>
      </c>
      <c r="G19" s="34">
        <v>2964000</v>
      </c>
      <c r="H19" s="27" t="s">
        <v>61</v>
      </c>
      <c r="I19" s="27" t="s">
        <v>48</v>
      </c>
      <c r="J19" s="27" t="s">
        <v>197</v>
      </c>
      <c r="K19" s="27" t="s">
        <v>217</v>
      </c>
      <c r="L19" s="27" t="s">
        <v>146</v>
      </c>
      <c r="M19" s="27" t="s">
        <v>62</v>
      </c>
      <c r="N19" s="34">
        <v>2964000</v>
      </c>
      <c r="O19" s="36" t="s">
        <v>79</v>
      </c>
    </row>
    <row r="20" spans="2:15" ht="45" x14ac:dyDescent="0.25">
      <c r="B20" s="26">
        <v>14</v>
      </c>
      <c r="C20" s="26" t="s">
        <v>68</v>
      </c>
      <c r="D20" s="26" t="s">
        <v>71</v>
      </c>
      <c r="E20" s="26" t="s">
        <v>81</v>
      </c>
      <c r="F20" s="37" t="s">
        <v>87</v>
      </c>
      <c r="G20" s="34">
        <v>93792000</v>
      </c>
      <c r="H20" s="27" t="s">
        <v>64</v>
      </c>
      <c r="I20" s="27" t="s">
        <v>63</v>
      </c>
      <c r="J20" s="27" t="s">
        <v>198</v>
      </c>
      <c r="K20" s="27" t="s">
        <v>211</v>
      </c>
      <c r="L20" s="27" t="s">
        <v>158</v>
      </c>
      <c r="M20" s="27" t="s">
        <v>65</v>
      </c>
      <c r="N20" s="34">
        <v>93792000</v>
      </c>
      <c r="O20" s="36" t="s">
        <v>79</v>
      </c>
    </row>
    <row r="21" spans="2:15" x14ac:dyDescent="0.25">
      <c r="B21" s="495" t="s">
        <v>31</v>
      </c>
      <c r="C21" s="495"/>
      <c r="D21" s="495"/>
      <c r="E21" s="495"/>
      <c r="F21" s="495"/>
      <c r="G21" s="495"/>
      <c r="H21" s="495"/>
      <c r="I21" s="495"/>
      <c r="J21" s="495"/>
      <c r="K21" s="495"/>
      <c r="L21" s="495"/>
      <c r="M21" s="495"/>
      <c r="N21" s="35">
        <f>SUM(N7:N20)</f>
        <v>530385300</v>
      </c>
      <c r="O21" s="28"/>
    </row>
    <row r="22" spans="2:15" x14ac:dyDescent="0.25">
      <c r="B22" s="29"/>
      <c r="C22" s="29"/>
      <c r="D22" s="29"/>
      <c r="E22" s="29"/>
      <c r="F22" s="29"/>
      <c r="G22" s="29"/>
      <c r="N22" s="30"/>
    </row>
    <row r="23" spans="2:15" x14ac:dyDescent="0.25">
      <c r="B23" s="29"/>
      <c r="C23" s="29"/>
      <c r="D23" s="29"/>
      <c r="E23" s="29"/>
      <c r="F23" s="29"/>
      <c r="G23" s="29"/>
      <c r="N23" s="30"/>
    </row>
    <row r="24" spans="2:15" ht="18.75" x14ac:dyDescent="0.3">
      <c r="B24" s="494" t="s">
        <v>172</v>
      </c>
      <c r="C24" s="494"/>
      <c r="D24" s="494"/>
      <c r="E24" s="494"/>
      <c r="F24" s="494"/>
      <c r="G24" s="494"/>
      <c r="H24" s="494"/>
      <c r="I24" s="494"/>
      <c r="J24" s="494"/>
      <c r="K24" s="494"/>
      <c r="L24" s="494"/>
      <c r="M24" s="494"/>
      <c r="N24" s="494"/>
      <c r="O24" s="494"/>
    </row>
    <row r="25" spans="2:15" x14ac:dyDescent="0.25">
      <c r="B25" s="81"/>
    </row>
    <row r="26" spans="2:15" ht="30" x14ac:dyDescent="0.25">
      <c r="B26" s="79" t="s">
        <v>26</v>
      </c>
      <c r="C26" s="79" t="s">
        <v>67</v>
      </c>
      <c r="D26" s="79" t="s">
        <v>69</v>
      </c>
      <c r="E26" s="31" t="s">
        <v>72</v>
      </c>
      <c r="F26" s="79" t="s">
        <v>183</v>
      </c>
      <c r="G26" s="79" t="s">
        <v>74</v>
      </c>
      <c r="H26" s="31" t="s">
        <v>75</v>
      </c>
      <c r="I26" s="31" t="s">
        <v>77</v>
      </c>
      <c r="J26" s="31" t="s">
        <v>27</v>
      </c>
      <c r="K26" s="31" t="s">
        <v>28</v>
      </c>
      <c r="L26" s="31" t="s">
        <v>29</v>
      </c>
      <c r="M26" s="31" t="s">
        <v>30</v>
      </c>
      <c r="N26" s="31" t="s">
        <v>78</v>
      </c>
      <c r="O26" s="31" t="s">
        <v>32</v>
      </c>
    </row>
    <row r="27" spans="2:15" x14ac:dyDescent="0.25"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</row>
    <row r="28" spans="2:15" ht="60" x14ac:dyDescent="0.25">
      <c r="B28" s="37">
        <v>1</v>
      </c>
      <c r="C28" s="26" t="s">
        <v>68</v>
      </c>
      <c r="D28" s="26" t="s">
        <v>70</v>
      </c>
      <c r="E28" s="26" t="s">
        <v>73</v>
      </c>
      <c r="F28" s="26" t="s">
        <v>91</v>
      </c>
      <c r="G28" s="34">
        <v>139772000</v>
      </c>
      <c r="H28" s="27" t="s">
        <v>175</v>
      </c>
      <c r="I28" s="27" t="s">
        <v>33</v>
      </c>
      <c r="J28" s="27" t="s">
        <v>184</v>
      </c>
      <c r="K28" s="27" t="s">
        <v>214</v>
      </c>
      <c r="L28" s="27" t="s">
        <v>173</v>
      </c>
      <c r="M28" s="27" t="s">
        <v>174</v>
      </c>
      <c r="N28" s="34">
        <v>97840400</v>
      </c>
      <c r="O28" s="36" t="s">
        <v>79</v>
      </c>
    </row>
    <row r="29" spans="2:15" ht="60" x14ac:dyDescent="0.25">
      <c r="B29" s="37">
        <v>2</v>
      </c>
      <c r="C29" s="26" t="s">
        <v>68</v>
      </c>
      <c r="D29" s="26" t="s">
        <v>70</v>
      </c>
      <c r="E29" s="26" t="s">
        <v>73</v>
      </c>
      <c r="F29" s="26" t="s">
        <v>90</v>
      </c>
      <c r="G29" s="34">
        <v>139400000</v>
      </c>
      <c r="H29" s="27" t="s">
        <v>176</v>
      </c>
      <c r="I29" s="27" t="s">
        <v>33</v>
      </c>
      <c r="J29" s="27" t="s">
        <v>218</v>
      </c>
      <c r="K29" s="27" t="s">
        <v>219</v>
      </c>
      <c r="L29" s="27" t="s">
        <v>220</v>
      </c>
      <c r="M29" s="27" t="s">
        <v>174</v>
      </c>
      <c r="N29" s="34">
        <v>97580000</v>
      </c>
      <c r="O29" s="36" t="s">
        <v>79</v>
      </c>
    </row>
    <row r="30" spans="2:15" ht="60" x14ac:dyDescent="0.25">
      <c r="B30" s="37">
        <v>3</v>
      </c>
      <c r="C30" s="26" t="s">
        <v>68</v>
      </c>
      <c r="D30" s="26" t="s">
        <v>70</v>
      </c>
      <c r="E30" s="26" t="s">
        <v>73</v>
      </c>
      <c r="F30" s="26" t="s">
        <v>89</v>
      </c>
      <c r="G30" s="34">
        <v>139739000</v>
      </c>
      <c r="H30" s="27" t="s">
        <v>177</v>
      </c>
      <c r="I30" s="27" t="s">
        <v>33</v>
      </c>
      <c r="J30" s="27" t="s">
        <v>212</v>
      </c>
      <c r="K30" s="27" t="s">
        <v>215</v>
      </c>
      <c r="L30" s="27" t="s">
        <v>178</v>
      </c>
      <c r="M30" s="27" t="s">
        <v>174</v>
      </c>
      <c r="N30" s="34">
        <v>97817300</v>
      </c>
      <c r="O30" s="36" t="s">
        <v>79</v>
      </c>
    </row>
    <row r="31" spans="2:15" ht="60" x14ac:dyDescent="0.25">
      <c r="B31" s="37">
        <v>4</v>
      </c>
      <c r="C31" s="26" t="s">
        <v>68</v>
      </c>
      <c r="D31" s="26" t="s">
        <v>70</v>
      </c>
      <c r="E31" s="26" t="s">
        <v>73</v>
      </c>
      <c r="F31" s="26" t="s">
        <v>92</v>
      </c>
      <c r="G31" s="34">
        <v>139319000</v>
      </c>
      <c r="H31" s="27" t="s">
        <v>180</v>
      </c>
      <c r="I31" s="27" t="s">
        <v>33</v>
      </c>
      <c r="J31" s="27" t="s">
        <v>221</v>
      </c>
      <c r="K31" s="27" t="s">
        <v>222</v>
      </c>
      <c r="L31" s="27" t="s">
        <v>223</v>
      </c>
      <c r="M31" s="27" t="s">
        <v>174</v>
      </c>
      <c r="N31" s="34">
        <v>97523300</v>
      </c>
      <c r="O31" s="36" t="s">
        <v>79</v>
      </c>
    </row>
    <row r="32" spans="2:15" ht="60" x14ac:dyDescent="0.25">
      <c r="B32" s="37">
        <v>5</v>
      </c>
      <c r="C32" s="26" t="s">
        <v>68</v>
      </c>
      <c r="D32" s="26" t="s">
        <v>70</v>
      </c>
      <c r="E32" s="26" t="s">
        <v>73</v>
      </c>
      <c r="F32" s="26" t="s">
        <v>93</v>
      </c>
      <c r="G32" s="34">
        <v>139500000</v>
      </c>
      <c r="H32" s="27" t="s">
        <v>179</v>
      </c>
      <c r="I32" s="27" t="s">
        <v>33</v>
      </c>
      <c r="J32" s="27" t="s">
        <v>213</v>
      </c>
      <c r="K32" s="27" t="s">
        <v>216</v>
      </c>
      <c r="L32" s="27" t="s">
        <v>181</v>
      </c>
      <c r="M32" s="27" t="s">
        <v>174</v>
      </c>
      <c r="N32" s="34">
        <v>97650000</v>
      </c>
      <c r="O32" s="36" t="s">
        <v>79</v>
      </c>
    </row>
    <row r="33" spans="2:16" ht="45" x14ac:dyDescent="0.25">
      <c r="B33" s="37">
        <v>6</v>
      </c>
      <c r="C33" s="26" t="s">
        <v>68</v>
      </c>
      <c r="D33" s="26" t="s">
        <v>71</v>
      </c>
      <c r="E33" s="26" t="s">
        <v>73</v>
      </c>
      <c r="F33" s="26" t="s">
        <v>308</v>
      </c>
      <c r="G33" s="34">
        <v>21000000</v>
      </c>
      <c r="H33" s="27" t="s">
        <v>305</v>
      </c>
      <c r="I33" s="27" t="s">
        <v>33</v>
      </c>
      <c r="J33" s="27" t="s">
        <v>306</v>
      </c>
      <c r="K33" s="27" t="s">
        <v>307</v>
      </c>
      <c r="L33" s="27" t="s">
        <v>313</v>
      </c>
      <c r="M33" s="27" t="s">
        <v>43</v>
      </c>
      <c r="N33" s="34">
        <v>20790000</v>
      </c>
      <c r="O33" s="26" t="s">
        <v>228</v>
      </c>
    </row>
    <row r="34" spans="2:16" ht="75" x14ac:dyDescent="0.25">
      <c r="B34" s="37">
        <v>7</v>
      </c>
      <c r="C34" s="26" t="s">
        <v>68</v>
      </c>
      <c r="D34" s="26" t="s">
        <v>70</v>
      </c>
      <c r="E34" s="26" t="s">
        <v>73</v>
      </c>
      <c r="F34" s="26" t="s">
        <v>82</v>
      </c>
      <c r="G34" s="34">
        <v>61472000</v>
      </c>
      <c r="H34" s="27" t="s">
        <v>180</v>
      </c>
      <c r="I34" s="27" t="s">
        <v>48</v>
      </c>
      <c r="J34" s="27" t="s">
        <v>224</v>
      </c>
      <c r="K34" s="27" t="s">
        <v>225</v>
      </c>
      <c r="L34" s="27" t="s">
        <v>226</v>
      </c>
      <c r="M34" s="27" t="s">
        <v>227</v>
      </c>
      <c r="N34" s="34">
        <v>43030400</v>
      </c>
      <c r="O34" s="36" t="s">
        <v>79</v>
      </c>
    </row>
    <row r="35" spans="2:16" ht="39.950000000000003" customHeight="1" x14ac:dyDescent="0.25">
      <c r="B35" s="489">
        <v>8</v>
      </c>
      <c r="C35" s="486" t="s">
        <v>68</v>
      </c>
      <c r="D35" s="486" t="s">
        <v>70</v>
      </c>
      <c r="E35" s="486" t="s">
        <v>111</v>
      </c>
      <c r="F35" s="486" t="s">
        <v>125</v>
      </c>
      <c r="G35" s="491">
        <v>15703000</v>
      </c>
      <c r="H35" s="486" t="s">
        <v>125</v>
      </c>
      <c r="I35" s="486" t="s">
        <v>229</v>
      </c>
      <c r="J35" s="27" t="s">
        <v>230</v>
      </c>
      <c r="K35" s="27" t="s">
        <v>231</v>
      </c>
      <c r="L35" s="27" t="s">
        <v>232</v>
      </c>
      <c r="M35" s="486" t="s">
        <v>249</v>
      </c>
      <c r="N35" s="34">
        <v>500000</v>
      </c>
      <c r="O35" s="486" t="s">
        <v>233</v>
      </c>
    </row>
    <row r="36" spans="2:16" ht="39.950000000000003" customHeight="1" x14ac:dyDescent="0.25">
      <c r="B36" s="490"/>
      <c r="C36" s="487"/>
      <c r="D36" s="487"/>
      <c r="E36" s="487"/>
      <c r="F36" s="487"/>
      <c r="G36" s="492"/>
      <c r="H36" s="487"/>
      <c r="I36" s="487"/>
      <c r="J36" s="27" t="s">
        <v>234</v>
      </c>
      <c r="K36" s="27" t="s">
        <v>235</v>
      </c>
      <c r="L36" s="27" t="s">
        <v>236</v>
      </c>
      <c r="M36" s="487"/>
      <c r="N36" s="34">
        <v>500000</v>
      </c>
      <c r="O36" s="487"/>
    </row>
    <row r="37" spans="2:16" ht="39.950000000000003" customHeight="1" x14ac:dyDescent="0.25">
      <c r="B37" s="490"/>
      <c r="C37" s="487"/>
      <c r="D37" s="487"/>
      <c r="E37" s="487"/>
      <c r="F37" s="487"/>
      <c r="G37" s="492"/>
      <c r="H37" s="487"/>
      <c r="I37" s="487"/>
      <c r="J37" s="27" t="s">
        <v>237</v>
      </c>
      <c r="K37" s="27" t="s">
        <v>238</v>
      </c>
      <c r="L37" s="27" t="s">
        <v>239</v>
      </c>
      <c r="M37" s="487"/>
      <c r="N37" s="34">
        <v>325000</v>
      </c>
      <c r="O37" s="487"/>
      <c r="P37" s="91">
        <f>SUM(N35:N40)</f>
        <v>2475000</v>
      </c>
    </row>
    <row r="38" spans="2:16" ht="39.950000000000003" customHeight="1" x14ac:dyDescent="0.25">
      <c r="B38" s="490"/>
      <c r="C38" s="487"/>
      <c r="D38" s="487"/>
      <c r="E38" s="487"/>
      <c r="F38" s="487"/>
      <c r="G38" s="492"/>
      <c r="H38" s="487"/>
      <c r="I38" s="487"/>
      <c r="J38" s="27" t="s">
        <v>240</v>
      </c>
      <c r="K38" s="27" t="s">
        <v>241</v>
      </c>
      <c r="L38" s="27" t="s">
        <v>242</v>
      </c>
      <c r="M38" s="487"/>
      <c r="N38" s="34">
        <v>325000</v>
      </c>
      <c r="O38" s="487"/>
    </row>
    <row r="39" spans="2:16" ht="39.950000000000003" customHeight="1" x14ac:dyDescent="0.25">
      <c r="B39" s="490"/>
      <c r="C39" s="487"/>
      <c r="D39" s="487"/>
      <c r="E39" s="487"/>
      <c r="F39" s="487"/>
      <c r="G39" s="492"/>
      <c r="H39" s="487"/>
      <c r="I39" s="487"/>
      <c r="J39" s="27" t="s">
        <v>243</v>
      </c>
      <c r="K39" s="27" t="s">
        <v>244</v>
      </c>
      <c r="L39" s="27" t="s">
        <v>245</v>
      </c>
      <c r="M39" s="487"/>
      <c r="N39" s="34">
        <v>325000</v>
      </c>
      <c r="O39" s="487"/>
    </row>
    <row r="40" spans="2:16" ht="39.950000000000003" customHeight="1" x14ac:dyDescent="0.25">
      <c r="B40" s="499"/>
      <c r="C40" s="488"/>
      <c r="D40" s="488"/>
      <c r="E40" s="488"/>
      <c r="F40" s="488"/>
      <c r="G40" s="493"/>
      <c r="H40" s="488"/>
      <c r="I40" s="488"/>
      <c r="J40" s="27" t="s">
        <v>246</v>
      </c>
      <c r="K40" s="27" t="s">
        <v>247</v>
      </c>
      <c r="L40" s="27" t="s">
        <v>248</v>
      </c>
      <c r="M40" s="488"/>
      <c r="N40" s="34">
        <v>500000</v>
      </c>
      <c r="O40" s="488"/>
    </row>
    <row r="41" spans="2:16" ht="39.950000000000003" customHeight="1" x14ac:dyDescent="0.25">
      <c r="B41" s="489">
        <v>9</v>
      </c>
      <c r="C41" s="486" t="s">
        <v>68</v>
      </c>
      <c r="D41" s="486" t="s">
        <v>70</v>
      </c>
      <c r="E41" s="486" t="s">
        <v>111</v>
      </c>
      <c r="F41" s="486" t="s">
        <v>125</v>
      </c>
      <c r="G41" s="491">
        <v>5000000</v>
      </c>
      <c r="H41" s="486" t="s">
        <v>125</v>
      </c>
      <c r="I41" s="486" t="s">
        <v>250</v>
      </c>
      <c r="J41" s="27" t="s">
        <v>251</v>
      </c>
      <c r="K41" s="27" t="s">
        <v>252</v>
      </c>
      <c r="L41" s="27" t="s">
        <v>253</v>
      </c>
      <c r="M41" s="486" t="s">
        <v>249</v>
      </c>
      <c r="N41" s="34">
        <v>325000</v>
      </c>
      <c r="O41" s="486" t="s">
        <v>233</v>
      </c>
    </row>
    <row r="42" spans="2:16" ht="39.950000000000003" customHeight="1" x14ac:dyDescent="0.25">
      <c r="B42" s="490"/>
      <c r="C42" s="487"/>
      <c r="D42" s="487"/>
      <c r="E42" s="487"/>
      <c r="F42" s="487"/>
      <c r="G42" s="492"/>
      <c r="H42" s="487"/>
      <c r="I42" s="487"/>
      <c r="J42" s="27" t="s">
        <v>254</v>
      </c>
      <c r="K42" s="27" t="s">
        <v>255</v>
      </c>
      <c r="L42" s="27" t="s">
        <v>256</v>
      </c>
      <c r="M42" s="487"/>
      <c r="N42" s="34">
        <v>600000</v>
      </c>
      <c r="O42" s="487"/>
      <c r="P42" s="91">
        <f>SUM(N41:N44)</f>
        <v>1850000</v>
      </c>
    </row>
    <row r="43" spans="2:16" ht="39.950000000000003" customHeight="1" x14ac:dyDescent="0.25">
      <c r="B43" s="490"/>
      <c r="C43" s="487"/>
      <c r="D43" s="487"/>
      <c r="E43" s="487"/>
      <c r="F43" s="487"/>
      <c r="G43" s="492"/>
      <c r="H43" s="487"/>
      <c r="I43" s="487"/>
      <c r="J43" s="27" t="s">
        <v>257</v>
      </c>
      <c r="K43" s="27" t="s">
        <v>258</v>
      </c>
      <c r="L43" s="27" t="s">
        <v>259</v>
      </c>
      <c r="M43" s="487"/>
      <c r="N43" s="34">
        <v>325000</v>
      </c>
      <c r="O43" s="487"/>
    </row>
    <row r="44" spans="2:16" ht="39.950000000000003" customHeight="1" x14ac:dyDescent="0.25">
      <c r="B44" s="490"/>
      <c r="C44" s="487"/>
      <c r="D44" s="487"/>
      <c r="E44" s="487"/>
      <c r="F44" s="487"/>
      <c r="G44" s="492"/>
      <c r="H44" s="487"/>
      <c r="I44" s="487"/>
      <c r="J44" s="27" t="s">
        <v>260</v>
      </c>
      <c r="K44" s="27" t="s">
        <v>261</v>
      </c>
      <c r="L44" s="27" t="s">
        <v>294</v>
      </c>
      <c r="M44" s="487"/>
      <c r="N44" s="34">
        <v>600000</v>
      </c>
      <c r="O44" s="487"/>
    </row>
    <row r="45" spans="2:16" ht="45" customHeight="1" x14ac:dyDescent="0.25">
      <c r="B45" s="489">
        <v>10</v>
      </c>
      <c r="C45" s="486" t="s">
        <v>68</v>
      </c>
      <c r="D45" s="486" t="s">
        <v>70</v>
      </c>
      <c r="E45" s="486" t="s">
        <v>111</v>
      </c>
      <c r="F45" s="486" t="s">
        <v>125</v>
      </c>
      <c r="G45" s="491">
        <v>15000000</v>
      </c>
      <c r="H45" s="486" t="s">
        <v>125</v>
      </c>
      <c r="I45" s="486" t="s">
        <v>262</v>
      </c>
      <c r="J45" s="27" t="s">
        <v>263</v>
      </c>
      <c r="K45" s="27" t="s">
        <v>264</v>
      </c>
      <c r="L45" s="27" t="s">
        <v>265</v>
      </c>
      <c r="M45" s="486" t="s">
        <v>249</v>
      </c>
      <c r="N45" s="34">
        <v>775000</v>
      </c>
      <c r="O45" s="486" t="s">
        <v>233</v>
      </c>
    </row>
    <row r="46" spans="2:16" ht="45" customHeight="1" x14ac:dyDescent="0.25">
      <c r="B46" s="490"/>
      <c r="C46" s="487"/>
      <c r="D46" s="487"/>
      <c r="E46" s="487"/>
      <c r="F46" s="487"/>
      <c r="G46" s="492"/>
      <c r="H46" s="487"/>
      <c r="I46" s="487"/>
      <c r="J46" s="27" t="s">
        <v>266</v>
      </c>
      <c r="K46" s="27" t="s">
        <v>267</v>
      </c>
      <c r="L46" s="27" t="s">
        <v>268</v>
      </c>
      <c r="M46" s="487"/>
      <c r="N46" s="34">
        <v>1075000</v>
      </c>
      <c r="O46" s="487"/>
      <c r="P46" s="91">
        <f>SUM(N45:N50)</f>
        <v>12500000</v>
      </c>
    </row>
    <row r="47" spans="2:16" ht="45" customHeight="1" x14ac:dyDescent="0.25">
      <c r="B47" s="490"/>
      <c r="C47" s="487"/>
      <c r="D47" s="487"/>
      <c r="E47" s="487"/>
      <c r="F47" s="487"/>
      <c r="G47" s="492"/>
      <c r="H47" s="487"/>
      <c r="I47" s="487"/>
      <c r="J47" s="27" t="s">
        <v>269</v>
      </c>
      <c r="K47" s="27" t="s">
        <v>270</v>
      </c>
      <c r="L47" s="27" t="s">
        <v>271</v>
      </c>
      <c r="M47" s="487"/>
      <c r="N47" s="34">
        <v>600000</v>
      </c>
      <c r="O47" s="487"/>
    </row>
    <row r="48" spans="2:16" ht="45" customHeight="1" x14ac:dyDescent="0.25">
      <c r="B48" s="490"/>
      <c r="C48" s="487"/>
      <c r="D48" s="487"/>
      <c r="E48" s="487"/>
      <c r="F48" s="487"/>
      <c r="G48" s="492"/>
      <c r="H48" s="487"/>
      <c r="I48" s="487"/>
      <c r="J48" s="27" t="s">
        <v>272</v>
      </c>
      <c r="K48" s="27" t="s">
        <v>273</v>
      </c>
      <c r="L48" s="27" t="s">
        <v>274</v>
      </c>
      <c r="M48" s="487"/>
      <c r="N48" s="34">
        <v>4700000</v>
      </c>
      <c r="O48" s="487"/>
      <c r="P48" s="91">
        <f>P46+P42+P37</f>
        <v>16825000</v>
      </c>
    </row>
    <row r="49" spans="2:16" ht="45" customHeight="1" x14ac:dyDescent="0.25">
      <c r="B49" s="490"/>
      <c r="C49" s="487"/>
      <c r="D49" s="487"/>
      <c r="E49" s="487"/>
      <c r="F49" s="487"/>
      <c r="G49" s="492"/>
      <c r="H49" s="487"/>
      <c r="I49" s="487"/>
      <c r="J49" s="27" t="s">
        <v>275</v>
      </c>
      <c r="K49" s="27" t="s">
        <v>276</v>
      </c>
      <c r="L49" s="27" t="s">
        <v>277</v>
      </c>
      <c r="M49" s="487"/>
      <c r="N49" s="34">
        <v>1100000</v>
      </c>
      <c r="O49" s="487"/>
    </row>
    <row r="50" spans="2:16" ht="45" customHeight="1" x14ac:dyDescent="0.25">
      <c r="B50" s="499"/>
      <c r="C50" s="488"/>
      <c r="D50" s="488"/>
      <c r="E50" s="488"/>
      <c r="F50" s="488"/>
      <c r="G50" s="493"/>
      <c r="H50" s="488"/>
      <c r="I50" s="488"/>
      <c r="J50" s="27" t="s">
        <v>278</v>
      </c>
      <c r="K50" s="27" t="s">
        <v>279</v>
      </c>
      <c r="L50" s="27" t="s">
        <v>280</v>
      </c>
      <c r="M50" s="488"/>
      <c r="N50" s="34">
        <v>4250000</v>
      </c>
      <c r="O50" s="488"/>
    </row>
    <row r="51" spans="2:16" ht="15" customHeight="1" x14ac:dyDescent="0.25">
      <c r="B51" s="496" t="s">
        <v>31</v>
      </c>
      <c r="C51" s="497"/>
      <c r="D51" s="497"/>
      <c r="E51" s="497"/>
      <c r="F51" s="497"/>
      <c r="G51" s="497"/>
      <c r="H51" s="497"/>
      <c r="I51" s="497"/>
      <c r="J51" s="497"/>
      <c r="K51" s="497"/>
      <c r="L51" s="497"/>
      <c r="M51" s="498"/>
      <c r="N51" s="35">
        <f>SUM(N28:N50)</f>
        <v>569056400</v>
      </c>
      <c r="O51" s="28"/>
    </row>
    <row r="57" spans="2:16" ht="18.75" x14ac:dyDescent="0.3">
      <c r="B57" s="494" t="s">
        <v>309</v>
      </c>
      <c r="C57" s="494"/>
      <c r="D57" s="494"/>
      <c r="E57" s="494"/>
      <c r="F57" s="494"/>
      <c r="G57" s="494"/>
      <c r="H57" s="494"/>
      <c r="I57" s="494"/>
      <c r="J57" s="494"/>
      <c r="K57" s="494"/>
      <c r="L57" s="494"/>
      <c r="M57" s="494"/>
      <c r="N57" s="494"/>
      <c r="O57" s="494"/>
    </row>
    <row r="58" spans="2:16" x14ac:dyDescent="0.25">
      <c r="B58" s="81"/>
    </row>
    <row r="59" spans="2:16" ht="30" x14ac:dyDescent="0.25">
      <c r="B59" s="107" t="s">
        <v>26</v>
      </c>
      <c r="C59" s="107" t="s">
        <v>67</v>
      </c>
      <c r="D59" s="107" t="s">
        <v>69</v>
      </c>
      <c r="E59" s="31" t="s">
        <v>72</v>
      </c>
      <c r="F59" s="107" t="s">
        <v>183</v>
      </c>
      <c r="G59" s="107" t="s">
        <v>74</v>
      </c>
      <c r="H59" s="31" t="s">
        <v>75</v>
      </c>
      <c r="I59" s="31" t="s">
        <v>77</v>
      </c>
      <c r="J59" s="31" t="s">
        <v>27</v>
      </c>
      <c r="K59" s="31" t="s">
        <v>28</v>
      </c>
      <c r="L59" s="31" t="s">
        <v>29</v>
      </c>
      <c r="M59" s="31" t="s">
        <v>30</v>
      </c>
      <c r="N59" s="31" t="s">
        <v>78</v>
      </c>
      <c r="O59" s="31" t="s">
        <v>32</v>
      </c>
    </row>
    <row r="60" spans="2:16" x14ac:dyDescent="0.25"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</row>
    <row r="61" spans="2:16" ht="75" x14ac:dyDescent="0.25">
      <c r="B61" s="489">
        <v>1</v>
      </c>
      <c r="C61" s="486" t="s">
        <v>68</v>
      </c>
      <c r="D61" s="486" t="s">
        <v>70</v>
      </c>
      <c r="E61" s="486" t="s">
        <v>111</v>
      </c>
      <c r="F61" s="486" t="s">
        <v>125</v>
      </c>
      <c r="G61" s="500">
        <v>15000000</v>
      </c>
      <c r="H61" s="486" t="s">
        <v>125</v>
      </c>
      <c r="I61" s="486" t="s">
        <v>315</v>
      </c>
      <c r="J61" s="27" t="s">
        <v>316</v>
      </c>
      <c r="K61" s="27" t="s">
        <v>317</v>
      </c>
      <c r="L61" s="27" t="s">
        <v>318</v>
      </c>
      <c r="M61" s="27" t="s">
        <v>249</v>
      </c>
      <c r="N61" s="34">
        <v>625000</v>
      </c>
      <c r="O61" s="26" t="s">
        <v>233</v>
      </c>
      <c r="P61" s="91">
        <f>N61+N62+N63+N64</f>
        <v>2500000</v>
      </c>
    </row>
    <row r="62" spans="2:16" ht="75" x14ac:dyDescent="0.25">
      <c r="B62" s="490"/>
      <c r="C62" s="487"/>
      <c r="D62" s="487"/>
      <c r="E62" s="487"/>
      <c r="F62" s="487"/>
      <c r="G62" s="501"/>
      <c r="H62" s="487"/>
      <c r="I62" s="487"/>
      <c r="J62" s="27" t="s">
        <v>319</v>
      </c>
      <c r="K62" s="27" t="s">
        <v>320</v>
      </c>
      <c r="L62" s="27" t="s">
        <v>321</v>
      </c>
      <c r="M62" s="27" t="s">
        <v>249</v>
      </c>
      <c r="N62" s="34">
        <v>625000</v>
      </c>
      <c r="O62" s="26" t="s">
        <v>233</v>
      </c>
    </row>
    <row r="63" spans="2:16" ht="75" x14ac:dyDescent="0.25">
      <c r="B63" s="490"/>
      <c r="C63" s="487"/>
      <c r="D63" s="487"/>
      <c r="E63" s="487"/>
      <c r="F63" s="487"/>
      <c r="G63" s="501"/>
      <c r="H63" s="487"/>
      <c r="I63" s="487"/>
      <c r="J63" s="27" t="s">
        <v>322</v>
      </c>
      <c r="K63" s="27" t="s">
        <v>323</v>
      </c>
      <c r="L63" s="27" t="s">
        <v>324</v>
      </c>
      <c r="M63" s="27" t="s">
        <v>249</v>
      </c>
      <c r="N63" s="34">
        <v>625000</v>
      </c>
      <c r="O63" s="26" t="s">
        <v>233</v>
      </c>
    </row>
    <row r="64" spans="2:16" ht="75" x14ac:dyDescent="0.25">
      <c r="B64" s="499"/>
      <c r="C64" s="488"/>
      <c r="D64" s="488"/>
      <c r="E64" s="488"/>
      <c r="F64" s="488"/>
      <c r="G64" s="502"/>
      <c r="H64" s="488"/>
      <c r="I64" s="488"/>
      <c r="J64" s="27" t="s">
        <v>325</v>
      </c>
      <c r="K64" s="27" t="s">
        <v>326</v>
      </c>
      <c r="L64" s="27" t="s">
        <v>327</v>
      </c>
      <c r="M64" s="27" t="s">
        <v>249</v>
      </c>
      <c r="N64" s="34">
        <v>625000</v>
      </c>
      <c r="O64" s="26" t="s">
        <v>233</v>
      </c>
    </row>
    <row r="65" spans="2:16" ht="45" x14ac:dyDescent="0.25">
      <c r="B65" s="37">
        <v>2</v>
      </c>
      <c r="C65" s="26" t="s">
        <v>68</v>
      </c>
      <c r="D65" s="26" t="s">
        <v>70</v>
      </c>
      <c r="E65" s="26" t="s">
        <v>73</v>
      </c>
      <c r="F65" s="26" t="s">
        <v>328</v>
      </c>
      <c r="G65" s="110">
        <v>128300000</v>
      </c>
      <c r="H65" s="27" t="s">
        <v>329</v>
      </c>
      <c r="I65" s="27" t="s">
        <v>63</v>
      </c>
      <c r="J65" s="27" t="s">
        <v>330</v>
      </c>
      <c r="K65" s="27" t="s">
        <v>331</v>
      </c>
      <c r="L65" s="27" t="s">
        <v>332</v>
      </c>
      <c r="M65" s="27" t="s">
        <v>338</v>
      </c>
      <c r="N65" s="34">
        <v>128300000</v>
      </c>
      <c r="O65" s="36" t="s">
        <v>79</v>
      </c>
    </row>
    <row r="66" spans="2:16" ht="66" customHeight="1" x14ac:dyDescent="0.25">
      <c r="B66" s="26">
        <v>3</v>
      </c>
      <c r="C66" s="26" t="s">
        <v>68</v>
      </c>
      <c r="D66" s="26" t="s">
        <v>70</v>
      </c>
      <c r="E66" s="26" t="s">
        <v>73</v>
      </c>
      <c r="F66" s="26" t="s">
        <v>83</v>
      </c>
      <c r="G66" s="110">
        <v>191859000</v>
      </c>
      <c r="H66" s="27" t="s">
        <v>76</v>
      </c>
      <c r="I66" s="27" t="s">
        <v>48</v>
      </c>
      <c r="J66" s="27" t="s">
        <v>333</v>
      </c>
      <c r="K66" s="27" t="s">
        <v>334</v>
      </c>
      <c r="L66" s="27" t="s">
        <v>335</v>
      </c>
      <c r="M66" s="27" t="s">
        <v>336</v>
      </c>
      <c r="N66" s="34">
        <v>134301300</v>
      </c>
      <c r="O66" s="36" t="s">
        <v>79</v>
      </c>
    </row>
    <row r="67" spans="2:16" ht="45" x14ac:dyDescent="0.25">
      <c r="B67" s="37">
        <v>4</v>
      </c>
      <c r="C67" s="26" t="s">
        <v>68</v>
      </c>
      <c r="D67" s="26" t="s">
        <v>71</v>
      </c>
      <c r="E67" s="26" t="s">
        <v>73</v>
      </c>
      <c r="F67" s="26" t="s">
        <v>337</v>
      </c>
      <c r="G67" s="110">
        <v>166430000</v>
      </c>
      <c r="H67" s="27" t="s">
        <v>340</v>
      </c>
      <c r="I67" s="27" t="s">
        <v>63</v>
      </c>
      <c r="J67" s="27" t="s">
        <v>341</v>
      </c>
      <c r="K67" s="27" t="s">
        <v>342</v>
      </c>
      <c r="L67" s="27" t="s">
        <v>343</v>
      </c>
      <c r="M67" s="27" t="s">
        <v>339</v>
      </c>
      <c r="N67" s="34">
        <v>166430000</v>
      </c>
      <c r="O67" s="36" t="s">
        <v>79</v>
      </c>
    </row>
    <row r="68" spans="2:16" ht="66" customHeight="1" x14ac:dyDescent="0.25">
      <c r="B68" s="26">
        <v>5</v>
      </c>
      <c r="C68" s="26" t="s">
        <v>68</v>
      </c>
      <c r="D68" s="26" t="s">
        <v>71</v>
      </c>
      <c r="E68" s="26" t="s">
        <v>73</v>
      </c>
      <c r="F68" s="26" t="s">
        <v>383</v>
      </c>
      <c r="G68" s="110">
        <v>5420000</v>
      </c>
      <c r="H68" s="27" t="s">
        <v>344</v>
      </c>
      <c r="I68" s="27" t="s">
        <v>48</v>
      </c>
      <c r="J68" s="27" t="s">
        <v>345</v>
      </c>
      <c r="K68" s="27" t="s">
        <v>346</v>
      </c>
      <c r="L68" s="27" t="s">
        <v>347</v>
      </c>
      <c r="M68" s="27" t="s">
        <v>348</v>
      </c>
      <c r="N68" s="34">
        <v>5420000</v>
      </c>
      <c r="O68" s="36" t="s">
        <v>349</v>
      </c>
    </row>
    <row r="69" spans="2:16" ht="90" x14ac:dyDescent="0.25">
      <c r="B69" s="26">
        <v>6</v>
      </c>
      <c r="C69" s="26" t="s">
        <v>68</v>
      </c>
      <c r="D69" s="26" t="s">
        <v>71</v>
      </c>
      <c r="E69" s="26" t="s">
        <v>426</v>
      </c>
      <c r="F69" s="26"/>
      <c r="G69" s="110">
        <v>41900000</v>
      </c>
      <c r="H69" s="27" t="s">
        <v>412</v>
      </c>
      <c r="I69" s="27" t="s">
        <v>33</v>
      </c>
      <c r="J69" s="27" t="s">
        <v>414</v>
      </c>
      <c r="K69" s="121" t="s">
        <v>416</v>
      </c>
      <c r="L69" s="121" t="s">
        <v>413</v>
      </c>
      <c r="M69" s="27" t="s">
        <v>415</v>
      </c>
      <c r="N69" s="34">
        <v>41900000</v>
      </c>
      <c r="O69" s="36" t="s">
        <v>79</v>
      </c>
    </row>
    <row r="70" spans="2:16" ht="90" x14ac:dyDescent="0.25">
      <c r="B70" s="26">
        <v>7</v>
      </c>
      <c r="C70" s="26" t="s">
        <v>68</v>
      </c>
      <c r="D70" s="26" t="s">
        <v>71</v>
      </c>
      <c r="E70" s="26" t="s">
        <v>73</v>
      </c>
      <c r="F70" s="26"/>
      <c r="G70" s="110">
        <v>114110000</v>
      </c>
      <c r="H70" s="27" t="s">
        <v>412</v>
      </c>
      <c r="I70" s="27" t="s">
        <v>33</v>
      </c>
      <c r="J70" s="27" t="s">
        <v>417</v>
      </c>
      <c r="K70" s="121" t="s">
        <v>418</v>
      </c>
      <c r="L70" s="121" t="s">
        <v>413</v>
      </c>
      <c r="M70" s="27" t="s">
        <v>422</v>
      </c>
      <c r="N70" s="110">
        <v>114110000</v>
      </c>
      <c r="O70" s="36" t="s">
        <v>79</v>
      </c>
    </row>
    <row r="71" spans="2:16" ht="45" x14ac:dyDescent="0.25">
      <c r="B71" s="489">
        <v>8</v>
      </c>
      <c r="C71" s="489" t="s">
        <v>68</v>
      </c>
      <c r="D71" s="489" t="s">
        <v>70</v>
      </c>
      <c r="E71" s="489" t="s">
        <v>111</v>
      </c>
      <c r="F71" s="489" t="s">
        <v>125</v>
      </c>
      <c r="G71" s="500">
        <v>15703000</v>
      </c>
      <c r="H71" s="489" t="s">
        <v>125</v>
      </c>
      <c r="I71" s="489" t="s">
        <v>229</v>
      </c>
      <c r="J71" s="109" t="s">
        <v>350</v>
      </c>
      <c r="K71" s="109" t="s">
        <v>358</v>
      </c>
      <c r="L71" s="109" t="s">
        <v>367</v>
      </c>
      <c r="M71" s="489" t="s">
        <v>249</v>
      </c>
      <c r="N71" s="110">
        <v>500000</v>
      </c>
      <c r="O71" s="489" t="s">
        <v>233</v>
      </c>
    </row>
    <row r="72" spans="2:16" ht="45" x14ac:dyDescent="0.25">
      <c r="B72" s="490"/>
      <c r="C72" s="490"/>
      <c r="D72" s="490"/>
      <c r="E72" s="490"/>
      <c r="F72" s="490"/>
      <c r="G72" s="501"/>
      <c r="H72" s="490"/>
      <c r="I72" s="490"/>
      <c r="J72" s="109" t="s">
        <v>351</v>
      </c>
      <c r="K72" s="109" t="s">
        <v>359</v>
      </c>
      <c r="L72" s="109" t="s">
        <v>368</v>
      </c>
      <c r="M72" s="490"/>
      <c r="N72" s="110">
        <v>825000</v>
      </c>
      <c r="O72" s="490"/>
    </row>
    <row r="73" spans="2:16" ht="45" x14ac:dyDescent="0.25">
      <c r="B73" s="490"/>
      <c r="C73" s="490"/>
      <c r="D73" s="490"/>
      <c r="E73" s="490"/>
      <c r="F73" s="490"/>
      <c r="G73" s="501"/>
      <c r="H73" s="490"/>
      <c r="I73" s="490"/>
      <c r="J73" s="109" t="s">
        <v>352</v>
      </c>
      <c r="K73" s="109" t="s">
        <v>360</v>
      </c>
      <c r="L73" s="109" t="s">
        <v>369</v>
      </c>
      <c r="M73" s="490"/>
      <c r="N73" s="110">
        <v>800000</v>
      </c>
      <c r="O73" s="490"/>
      <c r="P73" s="91">
        <f>SUM(N71:N78)</f>
        <v>6575000</v>
      </c>
    </row>
    <row r="74" spans="2:16" ht="45" x14ac:dyDescent="0.25">
      <c r="B74" s="490"/>
      <c r="C74" s="490"/>
      <c r="D74" s="490"/>
      <c r="E74" s="490"/>
      <c r="F74" s="490"/>
      <c r="G74" s="501"/>
      <c r="H74" s="490"/>
      <c r="I74" s="490"/>
      <c r="J74" s="109" t="s">
        <v>353</v>
      </c>
      <c r="K74" s="109" t="s">
        <v>361</v>
      </c>
      <c r="L74" s="109" t="s">
        <v>370</v>
      </c>
      <c r="M74" s="490"/>
      <c r="N74" s="110">
        <v>800000</v>
      </c>
      <c r="O74" s="490"/>
      <c r="P74" s="91">
        <f>N71+N72+N73+N74+N75+N77+N78</f>
        <v>5625000</v>
      </c>
    </row>
    <row r="75" spans="2:16" ht="45" x14ac:dyDescent="0.25">
      <c r="B75" s="490"/>
      <c r="C75" s="490"/>
      <c r="D75" s="490"/>
      <c r="E75" s="490"/>
      <c r="F75" s="490"/>
      <c r="G75" s="501"/>
      <c r="H75" s="490"/>
      <c r="I75" s="490"/>
      <c r="J75" s="109" t="s">
        <v>354</v>
      </c>
      <c r="K75" s="109" t="s">
        <v>362</v>
      </c>
      <c r="L75" s="109" t="s">
        <v>371</v>
      </c>
      <c r="M75" s="490"/>
      <c r="N75" s="110">
        <v>800000</v>
      </c>
      <c r="O75" s="490"/>
    </row>
    <row r="76" spans="2:16" ht="45" x14ac:dyDescent="0.25">
      <c r="B76" s="490"/>
      <c r="C76" s="490"/>
      <c r="D76" s="490"/>
      <c r="E76" s="490"/>
      <c r="F76" s="490"/>
      <c r="G76" s="501"/>
      <c r="H76" s="490"/>
      <c r="I76" s="490"/>
      <c r="J76" s="109" t="s">
        <v>355</v>
      </c>
      <c r="K76" s="109" t="s">
        <v>363</v>
      </c>
      <c r="L76" s="109" t="s">
        <v>366</v>
      </c>
      <c r="M76" s="490"/>
      <c r="N76" s="110">
        <v>950000</v>
      </c>
      <c r="O76" s="490"/>
    </row>
    <row r="77" spans="2:16" ht="45" x14ac:dyDescent="0.25">
      <c r="B77" s="490"/>
      <c r="C77" s="490"/>
      <c r="D77" s="490"/>
      <c r="E77" s="490"/>
      <c r="F77" s="490"/>
      <c r="G77" s="501"/>
      <c r="H77" s="490"/>
      <c r="I77" s="490"/>
      <c r="J77" s="109" t="s">
        <v>356</v>
      </c>
      <c r="K77" s="109" t="s">
        <v>364</v>
      </c>
      <c r="L77" s="109" t="s">
        <v>374</v>
      </c>
      <c r="M77" s="490"/>
      <c r="N77" s="110">
        <v>950000</v>
      </c>
      <c r="O77" s="490"/>
    </row>
    <row r="78" spans="2:16" ht="45" x14ac:dyDescent="0.25">
      <c r="B78" s="490"/>
      <c r="C78" s="490"/>
      <c r="D78" s="490"/>
      <c r="E78" s="490"/>
      <c r="F78" s="490"/>
      <c r="G78" s="501"/>
      <c r="H78" s="490"/>
      <c r="I78" s="490"/>
      <c r="J78" s="109" t="s">
        <v>357</v>
      </c>
      <c r="K78" s="109" t="s">
        <v>372</v>
      </c>
      <c r="L78" s="109" t="s">
        <v>373</v>
      </c>
      <c r="M78" s="490"/>
      <c r="N78" s="110">
        <v>950000</v>
      </c>
      <c r="O78" s="490"/>
    </row>
    <row r="79" spans="2:16" x14ac:dyDescent="0.25">
      <c r="B79" s="496" t="s">
        <v>31</v>
      </c>
      <c r="C79" s="497"/>
      <c r="D79" s="497"/>
      <c r="E79" s="497"/>
      <c r="F79" s="497"/>
      <c r="G79" s="497"/>
      <c r="H79" s="497"/>
      <c r="I79" s="497"/>
      <c r="J79" s="497"/>
      <c r="K79" s="497"/>
      <c r="L79" s="497"/>
      <c r="M79" s="498"/>
      <c r="N79" s="35">
        <f>SUM(N61:N78)</f>
        <v>599536300</v>
      </c>
      <c r="O79" s="28"/>
    </row>
    <row r="81" spans="14:14" x14ac:dyDescent="0.25">
      <c r="N81" s="91"/>
    </row>
  </sheetData>
  <mergeCells count="55">
    <mergeCell ref="B79:M79"/>
    <mergeCell ref="I61:I64"/>
    <mergeCell ref="F61:F64"/>
    <mergeCell ref="G61:G64"/>
    <mergeCell ref="E61:E64"/>
    <mergeCell ref="D61:D64"/>
    <mergeCell ref="C61:C64"/>
    <mergeCell ref="B61:B64"/>
    <mergeCell ref="H61:H64"/>
    <mergeCell ref="B57:O57"/>
    <mergeCell ref="B71:B78"/>
    <mergeCell ref="C71:C78"/>
    <mergeCell ref="D71:D78"/>
    <mergeCell ref="E71:E78"/>
    <mergeCell ref="F71:F78"/>
    <mergeCell ref="G71:G78"/>
    <mergeCell ref="H71:H78"/>
    <mergeCell ref="I71:I78"/>
    <mergeCell ref="M71:M78"/>
    <mergeCell ref="O71:O78"/>
    <mergeCell ref="B1:O1"/>
    <mergeCell ref="B21:M21"/>
    <mergeCell ref="B3:O3"/>
    <mergeCell ref="B24:O24"/>
    <mergeCell ref="B51:M51"/>
    <mergeCell ref="B35:B40"/>
    <mergeCell ref="C35:C40"/>
    <mergeCell ref="D35:D40"/>
    <mergeCell ref="E35:E40"/>
    <mergeCell ref="F35:F40"/>
    <mergeCell ref="G35:G40"/>
    <mergeCell ref="H35:H40"/>
    <mergeCell ref="I35:I40"/>
    <mergeCell ref="M35:M40"/>
    <mergeCell ref="B45:B50"/>
    <mergeCell ref="C45:C50"/>
    <mergeCell ref="D45:D50"/>
    <mergeCell ref="E45:E50"/>
    <mergeCell ref="F45:F50"/>
    <mergeCell ref="G45:G50"/>
    <mergeCell ref="G41:G44"/>
    <mergeCell ref="B41:B44"/>
    <mergeCell ref="C41:C44"/>
    <mergeCell ref="D41:D44"/>
    <mergeCell ref="E41:E44"/>
    <mergeCell ref="F41:F44"/>
    <mergeCell ref="H45:H50"/>
    <mergeCell ref="I45:I50"/>
    <mergeCell ref="M45:M50"/>
    <mergeCell ref="O45:O50"/>
    <mergeCell ref="O35:O40"/>
    <mergeCell ref="H41:H44"/>
    <mergeCell ref="I41:I44"/>
    <mergeCell ref="M41:M44"/>
    <mergeCell ref="O41:O44"/>
  </mergeCells>
  <pageMargins left="0.2" right="0.2" top="0.25" bottom="0.5" header="0.3" footer="0.3"/>
  <pageSetup paperSize="10000" scale="6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5"/>
  <sheetViews>
    <sheetView zoomScale="85" zoomScaleNormal="85" workbookViewId="0">
      <pane ySplit="6" topLeftCell="A46" activePane="bottomLeft" state="frozen"/>
      <selection activeCell="B79" sqref="B79:M79"/>
      <selection pane="bottomLeft" activeCell="B79" sqref="B79:M79"/>
    </sheetView>
  </sheetViews>
  <sheetFormatPr defaultRowHeight="15" x14ac:dyDescent="0.25"/>
  <cols>
    <col min="1" max="1" width="9.140625" style="1"/>
    <col min="2" max="2" width="4.85546875" style="1" customWidth="1"/>
    <col min="3" max="3" width="19.140625" style="1" bestFit="1" customWidth="1"/>
    <col min="4" max="4" width="19.140625" style="1" customWidth="1"/>
    <col min="5" max="5" width="28.28515625" style="1" customWidth="1"/>
    <col min="6" max="6" width="19.28515625" style="1" bestFit="1" customWidth="1"/>
    <col min="7" max="7" width="26" style="51" bestFit="1" customWidth="1"/>
    <col min="8" max="8" width="26.7109375" style="1" bestFit="1" customWidth="1"/>
    <col min="9" max="9" width="26" style="51" customWidth="1"/>
    <col min="10" max="10" width="21.85546875" style="51" customWidth="1"/>
    <col min="11" max="11" width="9.140625" style="1"/>
    <col min="12" max="12" width="15.140625" style="1" bestFit="1" customWidth="1"/>
    <col min="13" max="16384" width="9.140625" style="1"/>
  </cols>
  <sheetData>
    <row r="1" spans="2:10" ht="18.75" x14ac:dyDescent="0.3">
      <c r="B1" s="467" t="s">
        <v>105</v>
      </c>
      <c r="C1" s="467"/>
      <c r="D1" s="467"/>
      <c r="E1" s="467"/>
      <c r="F1" s="467"/>
      <c r="G1" s="467"/>
      <c r="H1" s="467"/>
      <c r="I1" s="467"/>
      <c r="J1" s="467"/>
    </row>
    <row r="2" spans="2:10" ht="18.75" x14ac:dyDescent="0.3">
      <c r="B2" s="467" t="s">
        <v>281</v>
      </c>
      <c r="C2" s="467"/>
      <c r="D2" s="467"/>
      <c r="E2" s="467"/>
      <c r="F2" s="467"/>
      <c r="G2" s="467"/>
      <c r="H2" s="467"/>
      <c r="I2" s="467"/>
      <c r="J2" s="467"/>
    </row>
    <row r="3" spans="2:10" ht="15.75" thickBot="1" x14ac:dyDescent="0.3"/>
    <row r="4" spans="2:10" ht="15.75" customHeight="1" x14ac:dyDescent="0.25">
      <c r="B4" s="476" t="s">
        <v>0</v>
      </c>
      <c r="C4" s="476" t="s">
        <v>69</v>
      </c>
      <c r="D4" s="476" t="s">
        <v>72</v>
      </c>
      <c r="E4" s="476" t="s">
        <v>122</v>
      </c>
      <c r="F4" s="506" t="s">
        <v>123</v>
      </c>
      <c r="G4" s="476" t="s">
        <v>132</v>
      </c>
      <c r="H4" s="476" t="s">
        <v>77</v>
      </c>
      <c r="I4" s="476" t="s">
        <v>133</v>
      </c>
      <c r="J4" s="476" t="s">
        <v>137</v>
      </c>
    </row>
    <row r="5" spans="2:10" ht="15.75" thickBot="1" x14ac:dyDescent="0.3">
      <c r="B5" s="477"/>
      <c r="C5" s="477"/>
      <c r="D5" s="477"/>
      <c r="E5" s="477"/>
      <c r="F5" s="507"/>
      <c r="G5" s="477"/>
      <c r="H5" s="477"/>
      <c r="I5" s="477"/>
      <c r="J5" s="477"/>
    </row>
    <row r="6" spans="2:10" ht="16.5" thickBot="1" x14ac:dyDescent="0.3">
      <c r="B6" s="503" t="s">
        <v>124</v>
      </c>
      <c r="C6" s="504"/>
      <c r="D6" s="504"/>
      <c r="E6" s="504"/>
      <c r="F6" s="504"/>
      <c r="G6" s="504"/>
      <c r="H6" s="504"/>
      <c r="I6" s="504"/>
      <c r="J6" s="61"/>
    </row>
    <row r="7" spans="2:10" ht="15.75" x14ac:dyDescent="0.25">
      <c r="B7" s="57"/>
      <c r="C7" s="57"/>
      <c r="D7" s="57"/>
      <c r="E7" s="57"/>
      <c r="F7" s="57"/>
      <c r="G7" s="57"/>
      <c r="H7" s="57"/>
      <c r="I7" s="57"/>
      <c r="J7" s="57"/>
    </row>
    <row r="8" spans="2:10" ht="45" customHeight="1" x14ac:dyDescent="0.25">
      <c r="B8" s="6">
        <v>1</v>
      </c>
      <c r="C8" s="6" t="s">
        <v>70</v>
      </c>
      <c r="D8" s="6" t="s">
        <v>73</v>
      </c>
      <c r="E8" s="50" t="s">
        <v>409</v>
      </c>
      <c r="F8" s="7">
        <v>139739000</v>
      </c>
      <c r="G8" s="38" t="s">
        <v>97</v>
      </c>
      <c r="H8" s="38" t="s">
        <v>96</v>
      </c>
      <c r="I8" s="58" t="s">
        <v>134</v>
      </c>
      <c r="J8" s="56" t="s">
        <v>139</v>
      </c>
    </row>
    <row r="9" spans="2:10" ht="45" customHeight="1" x14ac:dyDescent="0.25">
      <c r="B9" s="83"/>
      <c r="C9" s="83"/>
      <c r="D9" s="83"/>
      <c r="E9" s="84"/>
      <c r="F9" s="85"/>
      <c r="G9" s="86"/>
      <c r="H9" s="86"/>
      <c r="I9" s="87"/>
      <c r="J9" s="88" t="s">
        <v>282</v>
      </c>
    </row>
    <row r="10" spans="2:10" ht="45" customHeight="1" x14ac:dyDescent="0.25">
      <c r="B10" s="4"/>
      <c r="C10" s="4"/>
      <c r="D10" s="4"/>
      <c r="E10" s="4"/>
      <c r="F10" s="5"/>
      <c r="G10" s="82"/>
      <c r="H10" s="66"/>
      <c r="I10" s="82"/>
      <c r="J10" s="82"/>
    </row>
    <row r="11" spans="2:10" ht="45" customHeight="1" x14ac:dyDescent="0.25">
      <c r="B11" s="6">
        <v>2</v>
      </c>
      <c r="C11" s="6" t="s">
        <v>70</v>
      </c>
      <c r="D11" s="6" t="s">
        <v>73</v>
      </c>
      <c r="E11" s="50" t="s">
        <v>407</v>
      </c>
      <c r="F11" s="7">
        <v>139400000</v>
      </c>
      <c r="G11" s="38" t="s">
        <v>98</v>
      </c>
      <c r="H11" s="38" t="s">
        <v>96</v>
      </c>
      <c r="I11" s="58" t="s">
        <v>134</v>
      </c>
      <c r="J11" s="56" t="s">
        <v>140</v>
      </c>
    </row>
    <row r="12" spans="2:10" ht="45" customHeight="1" x14ac:dyDescent="0.25">
      <c r="B12" s="83"/>
      <c r="C12" s="83"/>
      <c r="D12" s="83"/>
      <c r="E12" s="84"/>
      <c r="F12" s="85"/>
      <c r="G12" s="86"/>
      <c r="H12" s="86"/>
      <c r="I12" s="87"/>
      <c r="J12" s="88" t="s">
        <v>283</v>
      </c>
    </row>
    <row r="13" spans="2:10" ht="45" customHeight="1" x14ac:dyDescent="0.25">
      <c r="B13" s="4"/>
      <c r="C13" s="4"/>
      <c r="D13" s="4"/>
      <c r="E13" s="4"/>
      <c r="F13" s="5"/>
      <c r="G13" s="82"/>
      <c r="H13" s="66"/>
      <c r="I13" s="82"/>
      <c r="J13" s="82"/>
    </row>
    <row r="14" spans="2:10" ht="45" customHeight="1" x14ac:dyDescent="0.25">
      <c r="B14" s="6">
        <v>3</v>
      </c>
      <c r="C14" s="6" t="s">
        <v>70</v>
      </c>
      <c r="D14" s="6" t="s">
        <v>73</v>
      </c>
      <c r="E14" s="50" t="s">
        <v>408</v>
      </c>
      <c r="F14" s="7">
        <v>139772000</v>
      </c>
      <c r="G14" s="52" t="s">
        <v>99</v>
      </c>
      <c r="H14" s="38" t="s">
        <v>96</v>
      </c>
      <c r="I14" s="58" t="s">
        <v>134</v>
      </c>
      <c r="J14" s="56" t="s">
        <v>138</v>
      </c>
    </row>
    <row r="15" spans="2:10" ht="45" customHeight="1" x14ac:dyDescent="0.25">
      <c r="B15" s="83"/>
      <c r="C15" s="83"/>
      <c r="D15" s="83"/>
      <c r="E15" s="84"/>
      <c r="F15" s="85"/>
      <c r="G15" s="89"/>
      <c r="H15" s="86"/>
      <c r="I15" s="87"/>
      <c r="J15" s="88" t="s">
        <v>284</v>
      </c>
    </row>
    <row r="16" spans="2:10" ht="45" customHeight="1" x14ac:dyDescent="0.25">
      <c r="B16" s="4"/>
      <c r="C16" s="4"/>
      <c r="D16" s="4"/>
      <c r="E16" s="4"/>
      <c r="F16" s="5"/>
      <c r="G16" s="82"/>
      <c r="H16" s="66"/>
      <c r="I16" s="82"/>
      <c r="J16" s="82"/>
    </row>
    <row r="17" spans="2:10" ht="45" customHeight="1" x14ac:dyDescent="0.25">
      <c r="B17" s="6">
        <v>4</v>
      </c>
      <c r="C17" s="6" t="s">
        <v>70</v>
      </c>
      <c r="D17" s="6" t="s">
        <v>73</v>
      </c>
      <c r="E17" s="50" t="s">
        <v>391</v>
      </c>
      <c r="F17" s="7">
        <v>139319000</v>
      </c>
      <c r="G17" s="38" t="s">
        <v>100</v>
      </c>
      <c r="H17" s="38" t="s">
        <v>96</v>
      </c>
      <c r="I17" s="58" t="s">
        <v>134</v>
      </c>
      <c r="J17" s="56" t="s">
        <v>141</v>
      </c>
    </row>
    <row r="18" spans="2:10" ht="45" customHeight="1" x14ac:dyDescent="0.25">
      <c r="B18" s="83"/>
      <c r="C18" s="83"/>
      <c r="D18" s="83"/>
      <c r="E18" s="84"/>
      <c r="F18" s="85"/>
      <c r="G18" s="86"/>
      <c r="H18" s="86"/>
      <c r="I18" s="87"/>
      <c r="J18" s="88" t="s">
        <v>285</v>
      </c>
    </row>
    <row r="19" spans="2:10" ht="45" customHeight="1" x14ac:dyDescent="0.25">
      <c r="B19" s="4"/>
      <c r="C19" s="4"/>
      <c r="D19" s="4"/>
      <c r="E19" s="4"/>
      <c r="F19" s="5"/>
      <c r="G19" s="82"/>
      <c r="H19" s="66"/>
      <c r="I19" s="82"/>
      <c r="J19" s="82"/>
    </row>
    <row r="20" spans="2:10" ht="45" customHeight="1" x14ac:dyDescent="0.25">
      <c r="B20" s="6">
        <v>5</v>
      </c>
      <c r="C20" s="6" t="s">
        <v>70</v>
      </c>
      <c r="D20" s="6" t="s">
        <v>73</v>
      </c>
      <c r="E20" s="50" t="s">
        <v>406</v>
      </c>
      <c r="F20" s="7">
        <v>139500000</v>
      </c>
      <c r="G20" s="38" t="s">
        <v>101</v>
      </c>
      <c r="H20" s="38" t="s">
        <v>96</v>
      </c>
      <c r="I20" s="58" t="s">
        <v>134</v>
      </c>
      <c r="J20" s="56" t="s">
        <v>142</v>
      </c>
    </row>
    <row r="21" spans="2:10" ht="45" customHeight="1" x14ac:dyDescent="0.25">
      <c r="B21" s="83"/>
      <c r="C21" s="83"/>
      <c r="D21" s="83"/>
      <c r="E21" s="84"/>
      <c r="F21" s="85"/>
      <c r="G21" s="86"/>
      <c r="H21" s="86"/>
      <c r="I21" s="87"/>
      <c r="J21" s="88" t="s">
        <v>286</v>
      </c>
    </row>
    <row r="22" spans="2:10" ht="45" customHeight="1" x14ac:dyDescent="0.25">
      <c r="B22" s="4"/>
      <c r="C22" s="4"/>
      <c r="D22" s="4"/>
      <c r="E22" s="4"/>
      <c r="F22" s="5"/>
      <c r="G22" s="82"/>
      <c r="H22" s="66"/>
      <c r="I22" s="82"/>
      <c r="J22" s="82"/>
    </row>
    <row r="23" spans="2:10" ht="45" customHeight="1" x14ac:dyDescent="0.25">
      <c r="B23" s="83">
        <v>6</v>
      </c>
      <c r="C23" s="83" t="s">
        <v>71</v>
      </c>
      <c r="D23" s="83" t="s">
        <v>73</v>
      </c>
      <c r="E23" s="84" t="s">
        <v>125</v>
      </c>
      <c r="F23" s="85">
        <v>41900000</v>
      </c>
      <c r="G23" s="89" t="s">
        <v>419</v>
      </c>
      <c r="H23" s="86" t="s">
        <v>421</v>
      </c>
      <c r="I23" s="95" t="s">
        <v>134</v>
      </c>
      <c r="J23" s="90" t="s">
        <v>420</v>
      </c>
    </row>
    <row r="24" spans="2:10" ht="45" customHeight="1" x14ac:dyDescent="0.25">
      <c r="B24" s="4"/>
      <c r="C24" s="4"/>
      <c r="D24" s="4"/>
      <c r="E24" s="4"/>
      <c r="F24" s="5"/>
      <c r="G24" s="98"/>
      <c r="H24" s="66"/>
      <c r="I24" s="98"/>
      <c r="J24" s="98"/>
    </row>
    <row r="25" spans="2:10" ht="45" customHeight="1" x14ac:dyDescent="0.25">
      <c r="B25" s="83">
        <v>7</v>
      </c>
      <c r="C25" s="83" t="s">
        <v>71</v>
      </c>
      <c r="D25" s="83" t="s">
        <v>121</v>
      </c>
      <c r="E25" s="83" t="s">
        <v>125</v>
      </c>
      <c r="F25" s="85">
        <v>0</v>
      </c>
      <c r="G25" s="94" t="s">
        <v>97</v>
      </c>
      <c r="H25" s="86" t="s">
        <v>102</v>
      </c>
      <c r="I25" s="87" t="s">
        <v>365</v>
      </c>
      <c r="J25" s="87"/>
    </row>
    <row r="26" spans="2:10" ht="45" customHeight="1" x14ac:dyDescent="0.25">
      <c r="B26" s="4"/>
      <c r="C26" s="4"/>
      <c r="D26" s="4"/>
      <c r="E26" s="4"/>
      <c r="F26" s="5"/>
      <c r="G26" s="98"/>
      <c r="H26" s="66"/>
      <c r="I26" s="98"/>
      <c r="J26" s="98"/>
    </row>
    <row r="27" spans="2:10" ht="45" customHeight="1" x14ac:dyDescent="0.25">
      <c r="B27" s="83">
        <v>8</v>
      </c>
      <c r="C27" s="83" t="s">
        <v>71</v>
      </c>
      <c r="D27" s="83" t="s">
        <v>121</v>
      </c>
      <c r="E27" s="83" t="s">
        <v>125</v>
      </c>
      <c r="F27" s="85">
        <v>0</v>
      </c>
      <c r="G27" s="94" t="s">
        <v>104</v>
      </c>
      <c r="H27" s="86" t="s">
        <v>103</v>
      </c>
      <c r="I27" s="87" t="s">
        <v>365</v>
      </c>
      <c r="J27" s="87"/>
    </row>
    <row r="28" spans="2:10" ht="45" customHeight="1" x14ac:dyDescent="0.25">
      <c r="B28" s="4"/>
      <c r="C28" s="4"/>
      <c r="D28" s="4"/>
      <c r="E28" s="4"/>
      <c r="F28" s="5"/>
      <c r="G28" s="82"/>
      <c r="H28" s="66"/>
      <c r="I28" s="82"/>
      <c r="J28" s="82"/>
    </row>
    <row r="29" spans="2:10" ht="45" customHeight="1" x14ac:dyDescent="0.25">
      <c r="B29" s="83">
        <v>9</v>
      </c>
      <c r="C29" s="83" t="s">
        <v>71</v>
      </c>
      <c r="D29" s="83" t="s">
        <v>121</v>
      </c>
      <c r="E29" s="83" t="s">
        <v>125</v>
      </c>
      <c r="F29" s="85">
        <v>0</v>
      </c>
      <c r="G29" s="89"/>
      <c r="H29" s="97" t="s">
        <v>382</v>
      </c>
      <c r="I29" s="87" t="s">
        <v>365</v>
      </c>
      <c r="J29" s="87"/>
    </row>
    <row r="30" spans="2:10" ht="45" customHeight="1" x14ac:dyDescent="0.25">
      <c r="B30" s="4"/>
      <c r="C30" s="4"/>
      <c r="D30" s="4"/>
      <c r="E30" s="4"/>
      <c r="F30" s="5"/>
      <c r="G30" s="82"/>
      <c r="H30" s="66"/>
      <c r="I30" s="82"/>
      <c r="J30" s="82"/>
    </row>
    <row r="31" spans="2:10" ht="45" customHeight="1" x14ac:dyDescent="0.25">
      <c r="B31" s="83">
        <v>10</v>
      </c>
      <c r="C31" s="83" t="s">
        <v>71</v>
      </c>
      <c r="D31" s="88" t="s">
        <v>427</v>
      </c>
      <c r="E31" s="84" t="s">
        <v>423</v>
      </c>
      <c r="F31" s="85">
        <v>114110000</v>
      </c>
      <c r="G31" s="89" t="s">
        <v>419</v>
      </c>
      <c r="H31" s="27" t="s">
        <v>424</v>
      </c>
      <c r="I31" s="95" t="s">
        <v>134</v>
      </c>
      <c r="J31" s="90" t="s">
        <v>420</v>
      </c>
    </row>
    <row r="32" spans="2:10" ht="45" customHeight="1" x14ac:dyDescent="0.25">
      <c r="B32" s="4"/>
      <c r="C32" s="4"/>
      <c r="D32" s="4"/>
      <c r="E32" s="4"/>
      <c r="F32" s="5"/>
      <c r="G32" s="82"/>
      <c r="H32" s="66"/>
      <c r="I32" s="82"/>
      <c r="J32" s="82"/>
    </row>
    <row r="33" spans="2:12" ht="45" customHeight="1" x14ac:dyDescent="0.25">
      <c r="B33" s="83">
        <v>11</v>
      </c>
      <c r="C33" s="83" t="s">
        <v>71</v>
      </c>
      <c r="D33" s="83" t="s">
        <v>121</v>
      </c>
      <c r="E33" s="83" t="s">
        <v>125</v>
      </c>
      <c r="F33" s="85">
        <v>0</v>
      </c>
      <c r="G33" s="94" t="s">
        <v>99</v>
      </c>
      <c r="H33" s="86" t="s">
        <v>106</v>
      </c>
      <c r="I33" s="87" t="s">
        <v>365</v>
      </c>
      <c r="J33" s="87"/>
    </row>
    <row r="34" spans="2:12" ht="45" customHeight="1" x14ac:dyDescent="0.25">
      <c r="B34" s="4"/>
      <c r="C34" s="4"/>
      <c r="D34" s="4"/>
      <c r="E34" s="4"/>
      <c r="F34" s="5"/>
      <c r="G34" s="82"/>
      <c r="H34" s="66"/>
      <c r="I34" s="82"/>
      <c r="J34" s="82"/>
    </row>
    <row r="35" spans="2:12" ht="45" customHeight="1" x14ac:dyDescent="0.25">
      <c r="B35" s="83">
        <v>12</v>
      </c>
      <c r="C35" s="83" t="s">
        <v>71</v>
      </c>
      <c r="D35" s="83" t="s">
        <v>73</v>
      </c>
      <c r="E35" s="84" t="s">
        <v>405</v>
      </c>
      <c r="F35" s="85">
        <v>27750000</v>
      </c>
      <c r="G35" s="89" t="s">
        <v>108</v>
      </c>
      <c r="H35" s="86" t="s">
        <v>107</v>
      </c>
      <c r="I35" s="89" t="s">
        <v>134</v>
      </c>
      <c r="J35" s="96" t="s">
        <v>143</v>
      </c>
    </row>
    <row r="36" spans="2:12" ht="45" customHeight="1" x14ac:dyDescent="0.25">
      <c r="B36" s="4"/>
      <c r="C36" s="4"/>
      <c r="D36" s="4"/>
      <c r="E36" s="4"/>
      <c r="F36" s="5"/>
      <c r="G36" s="82"/>
      <c r="H36" s="66"/>
      <c r="I36" s="82"/>
      <c r="J36" s="82"/>
    </row>
    <row r="37" spans="2:12" ht="45" customHeight="1" x14ac:dyDescent="0.25">
      <c r="B37" s="83">
        <v>13</v>
      </c>
      <c r="C37" s="83" t="s">
        <v>71</v>
      </c>
      <c r="D37" s="83" t="s">
        <v>73</v>
      </c>
      <c r="E37" s="84" t="s">
        <v>404</v>
      </c>
      <c r="F37" s="85">
        <v>20790000</v>
      </c>
      <c r="G37" s="89" t="s">
        <v>108</v>
      </c>
      <c r="H37" s="86" t="s">
        <v>109</v>
      </c>
      <c r="I37" s="95" t="s">
        <v>134</v>
      </c>
      <c r="J37" s="88" t="s">
        <v>314</v>
      </c>
    </row>
    <row r="38" spans="2:12" ht="45" customHeight="1" x14ac:dyDescent="0.25">
      <c r="B38" s="4"/>
      <c r="C38" s="4"/>
      <c r="D38" s="4"/>
      <c r="E38" s="4"/>
      <c r="F38" s="5"/>
      <c r="G38" s="82"/>
      <c r="H38" s="66"/>
      <c r="I38" s="82"/>
      <c r="J38" s="82"/>
    </row>
    <row r="39" spans="2:12" ht="45" customHeight="1" x14ac:dyDescent="0.25">
      <c r="B39" s="4"/>
      <c r="C39" s="4"/>
      <c r="D39" s="4"/>
      <c r="E39" s="4"/>
      <c r="F39" s="5"/>
      <c r="G39" s="82"/>
      <c r="H39" s="66"/>
      <c r="I39" s="82"/>
      <c r="J39" s="82"/>
    </row>
    <row r="40" spans="2:12" ht="45" customHeight="1" x14ac:dyDescent="0.25">
      <c r="B40" s="6">
        <v>14</v>
      </c>
      <c r="C40" s="6" t="s">
        <v>70</v>
      </c>
      <c r="D40" s="6" t="s">
        <v>111</v>
      </c>
      <c r="E40" s="6" t="s">
        <v>125</v>
      </c>
      <c r="F40" s="7">
        <v>9050000</v>
      </c>
      <c r="G40" s="52" t="s">
        <v>111</v>
      </c>
      <c r="H40" s="38" t="s">
        <v>110</v>
      </c>
      <c r="I40" s="58" t="s">
        <v>381</v>
      </c>
      <c r="J40" s="56" t="s">
        <v>287</v>
      </c>
    </row>
    <row r="41" spans="2:12" ht="45" customHeight="1" x14ac:dyDescent="0.25">
      <c r="B41" s="40"/>
      <c r="C41" s="40"/>
      <c r="D41" s="40"/>
      <c r="E41" s="40"/>
      <c r="F41" s="39"/>
      <c r="G41" s="53"/>
      <c r="H41" s="41"/>
      <c r="I41" s="92"/>
      <c r="J41" s="56" t="s">
        <v>288</v>
      </c>
      <c r="L41" s="73"/>
    </row>
    <row r="42" spans="2:12" ht="45" customHeight="1" x14ac:dyDescent="0.25">
      <c r="B42" s="40"/>
      <c r="C42" s="40"/>
      <c r="D42" s="40"/>
      <c r="E42" s="40"/>
      <c r="F42" s="39"/>
      <c r="G42" s="53"/>
      <c r="H42" s="41"/>
      <c r="I42" s="92"/>
      <c r="J42" s="56" t="s">
        <v>289</v>
      </c>
    </row>
    <row r="43" spans="2:12" ht="45" customHeight="1" x14ac:dyDescent="0.25">
      <c r="B43" s="40"/>
      <c r="C43" s="40"/>
      <c r="D43" s="40"/>
      <c r="E43" s="40"/>
      <c r="F43" s="39"/>
      <c r="G43" s="53"/>
      <c r="H43" s="41"/>
      <c r="I43" s="92"/>
      <c r="J43" s="56" t="s">
        <v>290</v>
      </c>
    </row>
    <row r="44" spans="2:12" ht="45" customHeight="1" x14ac:dyDescent="0.25">
      <c r="B44" s="40"/>
      <c r="C44" s="40"/>
      <c r="D44" s="40"/>
      <c r="E44" s="40"/>
      <c r="F44" s="39"/>
      <c r="G44" s="53"/>
      <c r="H44" s="41"/>
      <c r="I44" s="92"/>
      <c r="J44" s="56" t="s">
        <v>291</v>
      </c>
    </row>
    <row r="45" spans="2:12" ht="45" customHeight="1" x14ac:dyDescent="0.25">
      <c r="B45" s="40"/>
      <c r="C45" s="40"/>
      <c r="D45" s="40"/>
      <c r="E45" s="40"/>
      <c r="F45" s="39"/>
      <c r="G45" s="53"/>
      <c r="H45" s="41"/>
      <c r="I45" s="92"/>
      <c r="J45" s="111" t="s">
        <v>292</v>
      </c>
    </row>
    <row r="46" spans="2:12" ht="45" customHeight="1" x14ac:dyDescent="0.25">
      <c r="B46" s="40"/>
      <c r="C46" s="40"/>
      <c r="D46" s="40"/>
      <c r="E46" s="40"/>
      <c r="F46" s="39"/>
      <c r="G46" s="53"/>
      <c r="H46" s="41"/>
      <c r="I46" s="92"/>
      <c r="J46" s="93" t="s">
        <v>384</v>
      </c>
    </row>
    <row r="47" spans="2:12" ht="45" customHeight="1" x14ac:dyDescent="0.25">
      <c r="B47" s="40"/>
      <c r="C47" s="40"/>
      <c r="D47" s="40"/>
      <c r="E47" s="40"/>
      <c r="F47" s="39"/>
      <c r="G47" s="53"/>
      <c r="H47" s="41"/>
      <c r="I47" s="92"/>
      <c r="J47" s="93" t="s">
        <v>385</v>
      </c>
    </row>
    <row r="48" spans="2:12" ht="45" customHeight="1" x14ac:dyDescent="0.25">
      <c r="B48" s="40"/>
      <c r="C48" s="40"/>
      <c r="D48" s="40"/>
      <c r="E48" s="40"/>
      <c r="F48" s="39"/>
      <c r="G48" s="53"/>
      <c r="H48" s="41"/>
      <c r="I48" s="92"/>
      <c r="J48" s="93" t="s">
        <v>386</v>
      </c>
    </row>
    <row r="49" spans="2:10" ht="45" customHeight="1" x14ac:dyDescent="0.25">
      <c r="B49" s="40"/>
      <c r="C49" s="40"/>
      <c r="D49" s="40"/>
      <c r="E49" s="40"/>
      <c r="F49" s="39"/>
      <c r="G49" s="53"/>
      <c r="H49" s="41"/>
      <c r="I49" s="92"/>
      <c r="J49" s="93" t="s">
        <v>387</v>
      </c>
    </row>
    <row r="50" spans="2:10" ht="45" customHeight="1" x14ac:dyDescent="0.25">
      <c r="B50" s="40"/>
      <c r="C50" s="40"/>
      <c r="D50" s="40"/>
      <c r="E50" s="40"/>
      <c r="F50" s="39"/>
      <c r="G50" s="53"/>
      <c r="H50" s="41"/>
      <c r="I50" s="92"/>
      <c r="J50" s="93" t="s">
        <v>388</v>
      </c>
    </row>
    <row r="51" spans="2:10" ht="45" customHeight="1" x14ac:dyDescent="0.25">
      <c r="B51" s="40"/>
      <c r="C51" s="40"/>
      <c r="D51" s="40"/>
      <c r="E51" s="40"/>
      <c r="F51" s="39"/>
      <c r="G51" s="53"/>
      <c r="H51" s="41"/>
      <c r="I51" s="92"/>
      <c r="J51" s="93" t="s">
        <v>389</v>
      </c>
    </row>
    <row r="52" spans="2:10" ht="45" customHeight="1" x14ac:dyDescent="0.25">
      <c r="B52" s="40"/>
      <c r="C52" s="40"/>
      <c r="D52" s="40"/>
      <c r="E52" s="40"/>
      <c r="F52" s="39"/>
      <c r="G52" s="53"/>
      <c r="H52" s="41"/>
      <c r="I52" s="92"/>
      <c r="J52" s="93" t="s">
        <v>411</v>
      </c>
    </row>
    <row r="53" spans="2:10" ht="45" customHeight="1" x14ac:dyDescent="0.25">
      <c r="B53" s="83"/>
      <c r="C53" s="83"/>
      <c r="D53" s="83"/>
      <c r="E53" s="83"/>
      <c r="F53" s="85"/>
      <c r="G53" s="89"/>
      <c r="H53" s="86"/>
      <c r="I53" s="87"/>
      <c r="J53" s="120" t="s">
        <v>390</v>
      </c>
    </row>
    <row r="54" spans="2:10" ht="15.75" thickBot="1" x14ac:dyDescent="0.3">
      <c r="B54" s="45"/>
      <c r="C54" s="45"/>
      <c r="D54" s="45"/>
      <c r="E54" s="45"/>
      <c r="F54" s="47"/>
      <c r="G54" s="54"/>
      <c r="H54" s="46"/>
      <c r="I54" s="54"/>
      <c r="J54" s="54"/>
    </row>
    <row r="55" spans="2:10" ht="16.5" thickBot="1" x14ac:dyDescent="0.3">
      <c r="B55" s="43" t="s">
        <v>135</v>
      </c>
      <c r="C55" s="44"/>
      <c r="D55" s="44"/>
      <c r="E55" s="44"/>
      <c r="F55" s="44"/>
      <c r="G55" s="44"/>
      <c r="H55" s="44"/>
      <c r="I55" s="44"/>
      <c r="J55" s="62"/>
    </row>
    <row r="56" spans="2:10" x14ac:dyDescent="0.25">
      <c r="B56" s="45"/>
      <c r="C56" s="45"/>
      <c r="D56" s="45"/>
      <c r="E56" s="45"/>
      <c r="F56" s="47"/>
      <c r="G56" s="54"/>
      <c r="H56" s="46"/>
      <c r="I56" s="54"/>
      <c r="J56" s="54"/>
    </row>
    <row r="57" spans="2:10" ht="45" customHeight="1" x14ac:dyDescent="0.25">
      <c r="B57" s="83">
        <v>1</v>
      </c>
      <c r="C57" s="83" t="s">
        <v>71</v>
      </c>
      <c r="D57" s="83" t="s">
        <v>73</v>
      </c>
      <c r="E57" s="88" t="s">
        <v>402</v>
      </c>
      <c r="F57" s="85">
        <v>98670000</v>
      </c>
      <c r="G57" s="89" t="s">
        <v>154</v>
      </c>
      <c r="H57" s="87" t="s">
        <v>126</v>
      </c>
      <c r="I57" s="89" t="s">
        <v>134</v>
      </c>
      <c r="J57" s="96" t="s">
        <v>156</v>
      </c>
    </row>
    <row r="58" spans="2:10" ht="45" customHeight="1" x14ac:dyDescent="0.25">
      <c r="B58" s="4"/>
      <c r="C58" s="4"/>
      <c r="D58" s="4"/>
      <c r="E58" s="4"/>
      <c r="F58" s="5"/>
      <c r="G58" s="82"/>
      <c r="H58" s="66"/>
      <c r="I58" s="82"/>
      <c r="J58" s="82"/>
    </row>
    <row r="59" spans="2:10" ht="45" customHeight="1" x14ac:dyDescent="0.25">
      <c r="B59" s="83">
        <v>2</v>
      </c>
      <c r="C59" s="83" t="s">
        <v>71</v>
      </c>
      <c r="D59" s="83" t="s">
        <v>121</v>
      </c>
      <c r="E59" s="83" t="s">
        <v>125</v>
      </c>
      <c r="F59" s="85">
        <v>0</v>
      </c>
      <c r="G59" s="94" t="s">
        <v>113</v>
      </c>
      <c r="H59" s="86" t="s">
        <v>112</v>
      </c>
      <c r="I59" s="87" t="s">
        <v>365</v>
      </c>
      <c r="J59" s="87"/>
    </row>
    <row r="60" spans="2:10" ht="45" customHeight="1" x14ac:dyDescent="0.25">
      <c r="B60" s="4"/>
      <c r="C60" s="4"/>
      <c r="D60" s="4"/>
      <c r="E60" s="4"/>
      <c r="F60" s="5"/>
      <c r="G60" s="82"/>
      <c r="H60" s="66"/>
      <c r="I60" s="82"/>
      <c r="J60" s="82"/>
    </row>
    <row r="61" spans="2:10" ht="45" customHeight="1" x14ac:dyDescent="0.25">
      <c r="B61" s="83">
        <v>3</v>
      </c>
      <c r="C61" s="83" t="s">
        <v>71</v>
      </c>
      <c r="D61" s="88" t="s">
        <v>80</v>
      </c>
      <c r="E61" s="88" t="s">
        <v>403</v>
      </c>
      <c r="F61" s="85">
        <v>4675000</v>
      </c>
      <c r="G61" s="89" t="s">
        <v>113</v>
      </c>
      <c r="H61" s="86" t="s">
        <v>114</v>
      </c>
      <c r="I61" s="89" t="s">
        <v>134</v>
      </c>
      <c r="J61" s="96" t="s">
        <v>147</v>
      </c>
    </row>
    <row r="62" spans="2:10" ht="45" customHeight="1" x14ac:dyDescent="0.25">
      <c r="B62" s="4"/>
      <c r="C62" s="4"/>
      <c r="D62" s="4"/>
      <c r="E62" s="4"/>
      <c r="F62" s="5"/>
      <c r="G62" s="82"/>
      <c r="H62" s="66"/>
      <c r="I62" s="82"/>
      <c r="J62" s="82"/>
    </row>
    <row r="63" spans="2:10" ht="45" customHeight="1" x14ac:dyDescent="0.25">
      <c r="B63" s="83">
        <v>4</v>
      </c>
      <c r="C63" s="83" t="s">
        <v>71</v>
      </c>
      <c r="D63" s="88" t="s">
        <v>80</v>
      </c>
      <c r="E63" s="88" t="s">
        <v>94</v>
      </c>
      <c r="F63" s="85">
        <v>9900000</v>
      </c>
      <c r="G63" s="89" t="s">
        <v>113</v>
      </c>
      <c r="H63" s="86" t="s">
        <v>115</v>
      </c>
      <c r="I63" s="89" t="s">
        <v>134</v>
      </c>
      <c r="J63" s="96" t="s">
        <v>148</v>
      </c>
    </row>
    <row r="64" spans="2:10" ht="45" customHeight="1" x14ac:dyDescent="0.25">
      <c r="B64" s="4"/>
      <c r="C64" s="4"/>
      <c r="D64" s="4"/>
      <c r="E64" s="4"/>
      <c r="F64" s="5"/>
      <c r="G64" s="82"/>
      <c r="H64" s="66"/>
      <c r="I64" s="82"/>
      <c r="J64" s="82"/>
    </row>
    <row r="65" spans="2:12" ht="45" customHeight="1" x14ac:dyDescent="0.25">
      <c r="B65" s="83">
        <v>5</v>
      </c>
      <c r="C65" s="83" t="s">
        <v>71</v>
      </c>
      <c r="D65" s="83" t="s">
        <v>73</v>
      </c>
      <c r="E65" s="88" t="s">
        <v>410</v>
      </c>
      <c r="F65" s="85">
        <v>7316000</v>
      </c>
      <c r="G65" s="89" t="s">
        <v>116</v>
      </c>
      <c r="H65" s="87" t="s">
        <v>127</v>
      </c>
      <c r="I65" s="89" t="s">
        <v>134</v>
      </c>
      <c r="J65" s="96" t="s">
        <v>149</v>
      </c>
    </row>
    <row r="66" spans="2:12" ht="45" customHeight="1" x14ac:dyDescent="0.25">
      <c r="B66" s="4"/>
      <c r="C66" s="4"/>
      <c r="D66" s="4"/>
      <c r="E66" s="4"/>
      <c r="F66" s="5"/>
      <c r="G66" s="82"/>
      <c r="H66" s="66"/>
      <c r="I66" s="82"/>
      <c r="J66" s="82"/>
      <c r="L66" s="73">
        <f>L67+F67</f>
        <v>326160300</v>
      </c>
    </row>
    <row r="67" spans="2:12" ht="45" customHeight="1" x14ac:dyDescent="0.25">
      <c r="B67" s="40">
        <v>6</v>
      </c>
      <c r="C67" s="40" t="s">
        <v>70</v>
      </c>
      <c r="D67" s="40" t="s">
        <v>73</v>
      </c>
      <c r="E67" s="111" t="s">
        <v>400</v>
      </c>
      <c r="F67" s="39">
        <v>191859000</v>
      </c>
      <c r="G67" s="118" t="s">
        <v>117</v>
      </c>
      <c r="H67" s="92" t="s">
        <v>128</v>
      </c>
      <c r="I67" s="92" t="s">
        <v>134</v>
      </c>
      <c r="J67" s="119" t="s">
        <v>150</v>
      </c>
      <c r="L67" s="1">
        <v>134301300</v>
      </c>
    </row>
    <row r="68" spans="2:12" ht="45" customHeight="1" x14ac:dyDescent="0.25">
      <c r="B68" s="83"/>
      <c r="C68" s="83"/>
      <c r="D68" s="83"/>
      <c r="E68" s="88"/>
      <c r="F68" s="85"/>
      <c r="G68" s="99"/>
      <c r="H68" s="87"/>
      <c r="I68" s="87"/>
      <c r="J68" s="101" t="s">
        <v>379</v>
      </c>
    </row>
    <row r="69" spans="2:12" ht="45" customHeight="1" x14ac:dyDescent="0.25">
      <c r="B69" s="4"/>
      <c r="C69" s="4"/>
      <c r="D69" s="4"/>
      <c r="E69" s="4"/>
      <c r="F69" s="5"/>
      <c r="G69" s="82"/>
      <c r="H69" s="66"/>
      <c r="I69" s="82"/>
      <c r="J69" s="82"/>
    </row>
    <row r="70" spans="2:12" ht="45" customHeight="1" x14ac:dyDescent="0.25">
      <c r="B70" s="83">
        <v>7</v>
      </c>
      <c r="C70" s="83" t="s">
        <v>71</v>
      </c>
      <c r="D70" s="83" t="s">
        <v>121</v>
      </c>
      <c r="E70" s="88" t="s">
        <v>401</v>
      </c>
      <c r="F70" s="85">
        <v>5420000</v>
      </c>
      <c r="G70" s="89" t="s">
        <v>344</v>
      </c>
      <c r="H70" s="87" t="s">
        <v>129</v>
      </c>
      <c r="I70" s="87" t="s">
        <v>134</v>
      </c>
      <c r="J70" s="90" t="s">
        <v>380</v>
      </c>
    </row>
    <row r="71" spans="2:12" ht="45" customHeight="1" x14ac:dyDescent="0.25">
      <c r="B71" s="4"/>
      <c r="C71" s="4"/>
      <c r="D71" s="4"/>
      <c r="E71" s="4"/>
      <c r="F71" s="5"/>
      <c r="G71" s="82"/>
      <c r="H71" s="66"/>
      <c r="I71" s="82"/>
      <c r="J71" s="82"/>
    </row>
    <row r="72" spans="2:12" ht="45" customHeight="1" x14ac:dyDescent="0.25">
      <c r="B72" s="83">
        <v>8</v>
      </c>
      <c r="C72" s="83" t="s">
        <v>71</v>
      </c>
      <c r="D72" s="83" t="s">
        <v>73</v>
      </c>
      <c r="E72" s="88" t="s">
        <v>392</v>
      </c>
      <c r="F72" s="85">
        <v>2964000</v>
      </c>
      <c r="G72" s="99" t="s">
        <v>118</v>
      </c>
      <c r="H72" s="87" t="s">
        <v>130</v>
      </c>
      <c r="I72" s="89" t="s">
        <v>134</v>
      </c>
      <c r="J72" s="96" t="s">
        <v>151</v>
      </c>
    </row>
    <row r="73" spans="2:12" ht="45" customHeight="1" x14ac:dyDescent="0.25">
      <c r="B73" s="4"/>
      <c r="C73" s="4"/>
      <c r="D73" s="4"/>
      <c r="E73" s="4"/>
      <c r="F73" s="5"/>
      <c r="G73" s="100"/>
      <c r="H73" s="66"/>
      <c r="I73" s="100"/>
      <c r="J73" s="100"/>
    </row>
    <row r="74" spans="2:12" ht="45" customHeight="1" x14ac:dyDescent="0.25">
      <c r="B74" s="6">
        <v>9</v>
      </c>
      <c r="C74" s="6" t="s">
        <v>70</v>
      </c>
      <c r="D74" s="6" t="s">
        <v>73</v>
      </c>
      <c r="E74" s="56" t="s">
        <v>393</v>
      </c>
      <c r="F74" s="7">
        <v>61472000</v>
      </c>
      <c r="G74" s="59" t="s">
        <v>100</v>
      </c>
      <c r="H74" s="58" t="s">
        <v>131</v>
      </c>
      <c r="I74" s="52" t="s">
        <v>134</v>
      </c>
      <c r="J74" s="63" t="s">
        <v>152</v>
      </c>
    </row>
    <row r="75" spans="2:12" ht="45" customHeight="1" x14ac:dyDescent="0.25">
      <c r="B75" s="83"/>
      <c r="C75" s="83"/>
      <c r="D75" s="83"/>
      <c r="E75" s="88"/>
      <c r="F75" s="85"/>
      <c r="G75" s="99"/>
      <c r="H75" s="87"/>
      <c r="I75" s="89"/>
      <c r="J75" s="96" t="s">
        <v>293</v>
      </c>
    </row>
    <row r="76" spans="2:12" ht="45" customHeight="1" x14ac:dyDescent="0.25">
      <c r="B76" s="4"/>
      <c r="C76" s="4"/>
      <c r="D76" s="4"/>
      <c r="E76" s="4"/>
      <c r="F76" s="5"/>
      <c r="G76" s="82"/>
      <c r="H76" s="66"/>
      <c r="I76" s="82"/>
      <c r="J76" s="82"/>
    </row>
    <row r="77" spans="2:12" ht="45" customHeight="1" x14ac:dyDescent="0.25">
      <c r="B77" s="6">
        <v>10</v>
      </c>
      <c r="C77" s="6" t="s">
        <v>70</v>
      </c>
      <c r="D77" s="6" t="s">
        <v>111</v>
      </c>
      <c r="E77" s="6" t="s">
        <v>125</v>
      </c>
      <c r="F77" s="7">
        <v>1850000</v>
      </c>
      <c r="G77" s="52" t="s">
        <v>111</v>
      </c>
      <c r="H77" s="38" t="s">
        <v>110</v>
      </c>
      <c r="I77" s="58" t="s">
        <v>381</v>
      </c>
      <c r="J77" s="63" t="s">
        <v>295</v>
      </c>
    </row>
    <row r="78" spans="2:12" ht="45" customHeight="1" x14ac:dyDescent="0.25">
      <c r="B78" s="40"/>
      <c r="C78" s="40"/>
      <c r="D78" s="40"/>
      <c r="E78" s="40"/>
      <c r="F78" s="39"/>
      <c r="G78" s="53"/>
      <c r="H78" s="41"/>
      <c r="I78" s="92"/>
      <c r="J78" s="63" t="s">
        <v>296</v>
      </c>
    </row>
    <row r="79" spans="2:12" ht="45" customHeight="1" x14ac:dyDescent="0.25">
      <c r="B79" s="40"/>
      <c r="C79" s="40"/>
      <c r="D79" s="40"/>
      <c r="E79" s="40"/>
      <c r="F79" s="39"/>
      <c r="G79" s="53"/>
      <c r="H79" s="41"/>
      <c r="I79" s="92"/>
      <c r="J79" s="63" t="s">
        <v>297</v>
      </c>
    </row>
    <row r="80" spans="2:12" ht="45" customHeight="1" x14ac:dyDescent="0.25">
      <c r="B80" s="83"/>
      <c r="C80" s="83"/>
      <c r="D80" s="83"/>
      <c r="E80" s="83"/>
      <c r="F80" s="85"/>
      <c r="G80" s="89"/>
      <c r="H80" s="86"/>
      <c r="I80" s="87"/>
      <c r="J80" s="96" t="s">
        <v>298</v>
      </c>
    </row>
    <row r="81" spans="2:10" ht="15.75" thickBot="1" x14ac:dyDescent="0.3">
      <c r="B81" s="45"/>
      <c r="C81" s="45"/>
      <c r="D81" s="45"/>
      <c r="E81" s="45"/>
      <c r="F81" s="47"/>
      <c r="G81" s="54"/>
      <c r="H81" s="46"/>
      <c r="I81" s="54"/>
      <c r="J81" s="54"/>
    </row>
    <row r="82" spans="2:10" ht="16.5" thickBot="1" x14ac:dyDescent="0.3">
      <c r="B82" s="503" t="s">
        <v>136</v>
      </c>
      <c r="C82" s="504"/>
      <c r="D82" s="504"/>
      <c r="E82" s="504"/>
      <c r="F82" s="504"/>
      <c r="G82" s="504"/>
      <c r="H82" s="504"/>
      <c r="I82" s="504"/>
      <c r="J82" s="108"/>
    </row>
    <row r="83" spans="2:10" x14ac:dyDescent="0.25">
      <c r="B83" s="45"/>
      <c r="C83" s="45"/>
      <c r="D83" s="45"/>
      <c r="E83" s="45"/>
      <c r="F83" s="47"/>
      <c r="G83" s="54"/>
      <c r="H83" s="46"/>
      <c r="I83" s="54"/>
      <c r="J83" s="54"/>
    </row>
    <row r="84" spans="2:10" ht="45" customHeight="1" x14ac:dyDescent="0.25">
      <c r="B84" s="83">
        <v>1</v>
      </c>
      <c r="C84" s="83" t="s">
        <v>71</v>
      </c>
      <c r="D84" s="88" t="s">
        <v>394</v>
      </c>
      <c r="E84" s="88" t="s">
        <v>395</v>
      </c>
      <c r="F84" s="85">
        <v>93792000</v>
      </c>
      <c r="G84" s="89" t="s">
        <v>153</v>
      </c>
      <c r="H84" s="86" t="s">
        <v>119</v>
      </c>
      <c r="I84" s="89" t="s">
        <v>134</v>
      </c>
      <c r="J84" s="96" t="s">
        <v>155</v>
      </c>
    </row>
    <row r="85" spans="2:10" ht="45" customHeight="1" x14ac:dyDescent="0.25">
      <c r="B85" s="4"/>
      <c r="C85" s="4"/>
      <c r="D85" s="4"/>
      <c r="E85" s="4"/>
      <c r="F85" s="5"/>
      <c r="G85" s="82"/>
      <c r="H85" s="66"/>
      <c r="I85" s="82"/>
      <c r="J85" s="82"/>
    </row>
    <row r="86" spans="2:10" ht="45" customHeight="1" x14ac:dyDescent="0.25">
      <c r="B86" s="6">
        <v>2</v>
      </c>
      <c r="C86" s="6" t="s">
        <v>71</v>
      </c>
      <c r="D86" s="6" t="s">
        <v>73</v>
      </c>
      <c r="E86" s="56" t="s">
        <v>396</v>
      </c>
      <c r="F86" s="7">
        <v>128300000</v>
      </c>
      <c r="G86" s="52" t="s">
        <v>329</v>
      </c>
      <c r="H86" s="38" t="s">
        <v>103</v>
      </c>
      <c r="I86" s="89" t="s">
        <v>134</v>
      </c>
      <c r="J86" s="93" t="s">
        <v>397</v>
      </c>
    </row>
    <row r="87" spans="2:10" ht="45" customHeight="1" x14ac:dyDescent="0.25">
      <c r="B87" s="6"/>
      <c r="C87" s="6"/>
      <c r="D87" s="6"/>
      <c r="E87" s="6"/>
      <c r="F87" s="7"/>
      <c r="G87" s="52"/>
      <c r="H87" s="38"/>
      <c r="I87" s="52"/>
      <c r="J87" s="52"/>
    </row>
    <row r="88" spans="2:10" ht="45" customHeight="1" x14ac:dyDescent="0.25">
      <c r="B88" s="6">
        <v>3</v>
      </c>
      <c r="C88" s="6" t="s">
        <v>71</v>
      </c>
      <c r="D88" s="6" t="s">
        <v>73</v>
      </c>
      <c r="E88" s="56" t="s">
        <v>398</v>
      </c>
      <c r="F88" s="7">
        <v>166430000</v>
      </c>
      <c r="G88" s="52" t="s">
        <v>340</v>
      </c>
      <c r="H88" s="38" t="s">
        <v>120</v>
      </c>
      <c r="I88" s="89" t="s">
        <v>134</v>
      </c>
      <c r="J88" s="93" t="s">
        <v>399</v>
      </c>
    </row>
    <row r="89" spans="2:10" ht="45" customHeight="1" x14ac:dyDescent="0.25">
      <c r="B89" s="6"/>
      <c r="C89" s="6"/>
      <c r="D89" s="6"/>
      <c r="E89" s="6"/>
      <c r="F89" s="7"/>
      <c r="G89" s="52"/>
      <c r="H89" s="38"/>
      <c r="I89" s="52"/>
      <c r="J89" s="52"/>
    </row>
    <row r="90" spans="2:10" ht="45" customHeight="1" x14ac:dyDescent="0.25">
      <c r="B90" s="6">
        <v>4</v>
      </c>
      <c r="C90" s="6" t="s">
        <v>70</v>
      </c>
      <c r="D90" s="6" t="s">
        <v>111</v>
      </c>
      <c r="E90" s="6" t="s">
        <v>125</v>
      </c>
      <c r="F90" s="7">
        <v>15000000</v>
      </c>
      <c r="G90" s="52" t="s">
        <v>111</v>
      </c>
      <c r="H90" s="38" t="s">
        <v>110</v>
      </c>
      <c r="I90" s="58" t="s">
        <v>134</v>
      </c>
      <c r="J90" s="56" t="s">
        <v>299</v>
      </c>
    </row>
    <row r="91" spans="2:10" ht="45" customHeight="1" x14ac:dyDescent="0.25">
      <c r="B91" s="40"/>
      <c r="C91" s="40"/>
      <c r="D91" s="40"/>
      <c r="E91" s="40"/>
      <c r="F91" s="39"/>
      <c r="G91" s="53"/>
      <c r="H91" s="41"/>
      <c r="I91" s="92"/>
      <c r="J91" s="111" t="s">
        <v>300</v>
      </c>
    </row>
    <row r="92" spans="2:10" ht="45" customHeight="1" x14ac:dyDescent="0.25">
      <c r="B92" s="40"/>
      <c r="C92" s="40"/>
      <c r="D92" s="40"/>
      <c r="E92" s="40"/>
      <c r="F92" s="39"/>
      <c r="G92" s="53"/>
      <c r="H92" s="41"/>
      <c r="I92" s="92"/>
      <c r="J92" s="111" t="s">
        <v>301</v>
      </c>
    </row>
    <row r="93" spans="2:10" ht="45" customHeight="1" x14ac:dyDescent="0.25">
      <c r="B93" s="40"/>
      <c r="C93" s="40"/>
      <c r="D93" s="40"/>
      <c r="E93" s="40"/>
      <c r="F93" s="39"/>
      <c r="G93" s="53"/>
      <c r="H93" s="41"/>
      <c r="I93" s="92"/>
      <c r="J93" s="111" t="s">
        <v>302</v>
      </c>
    </row>
    <row r="94" spans="2:10" ht="45" customHeight="1" x14ac:dyDescent="0.25">
      <c r="B94" s="40"/>
      <c r="C94" s="40"/>
      <c r="D94" s="40"/>
      <c r="E94" s="40"/>
      <c r="F94" s="39"/>
      <c r="G94" s="53"/>
      <c r="H94" s="41"/>
      <c r="I94" s="92"/>
      <c r="J94" s="111" t="s">
        <v>303</v>
      </c>
    </row>
    <row r="95" spans="2:10" ht="45" customHeight="1" x14ac:dyDescent="0.25">
      <c r="B95" s="6"/>
      <c r="C95" s="6"/>
      <c r="D95" s="6"/>
      <c r="E95" s="6"/>
      <c r="F95" s="7"/>
      <c r="G95" s="52"/>
      <c r="H95" s="38"/>
      <c r="I95" s="58"/>
      <c r="J95" s="56" t="s">
        <v>304</v>
      </c>
    </row>
    <row r="96" spans="2:10" ht="45" customHeight="1" x14ac:dyDescent="0.25">
      <c r="B96" s="4"/>
      <c r="C96" s="4"/>
      <c r="D96" s="4"/>
      <c r="E96" s="4"/>
      <c r="F96" s="5"/>
      <c r="G96" s="82"/>
      <c r="H96" s="66"/>
      <c r="I96" s="115"/>
      <c r="J96" s="116" t="s">
        <v>375</v>
      </c>
    </row>
    <row r="97" spans="1:10" ht="45" customHeight="1" x14ac:dyDescent="0.25">
      <c r="B97" s="40"/>
      <c r="C97" s="40"/>
      <c r="D97" s="40"/>
      <c r="E97" s="40"/>
      <c r="F97" s="39"/>
      <c r="G97" s="53"/>
      <c r="H97" s="41"/>
      <c r="I97" s="92"/>
      <c r="J97" s="102" t="s">
        <v>376</v>
      </c>
    </row>
    <row r="98" spans="1:10" ht="45" customHeight="1" x14ac:dyDescent="0.25">
      <c r="B98" s="40"/>
      <c r="C98" s="40"/>
      <c r="D98" s="40"/>
      <c r="E98" s="40"/>
      <c r="F98" s="39"/>
      <c r="G98" s="53"/>
      <c r="H98" s="41"/>
      <c r="I98" s="92"/>
      <c r="J98" s="102" t="s">
        <v>377</v>
      </c>
    </row>
    <row r="99" spans="1:10" ht="45" customHeight="1" thickBot="1" x14ac:dyDescent="0.3">
      <c r="B99" s="9"/>
      <c r="C99" s="9"/>
      <c r="D99" s="9"/>
      <c r="E99" s="9"/>
      <c r="F99" s="42"/>
      <c r="G99" s="112"/>
      <c r="H99" s="113"/>
      <c r="I99" s="114"/>
      <c r="J99" s="117" t="s">
        <v>378</v>
      </c>
    </row>
    <row r="100" spans="1:10" ht="24" thickBot="1" x14ac:dyDescent="0.3">
      <c r="B100" s="508" t="s">
        <v>428</v>
      </c>
      <c r="C100" s="509"/>
      <c r="D100" s="509"/>
      <c r="E100" s="510"/>
      <c r="F100" s="105">
        <f>F90+F88+F86+F77+F74+F72+F70+F67+F65+F63+F61+F59+F57+F40+F37+F35+F33+F29+F27+F25+F23+F20+F17+F14+F11+F8+F84+F31</f>
        <v>1698978000</v>
      </c>
      <c r="G100" s="103"/>
      <c r="H100" s="104"/>
      <c r="I100" s="103"/>
      <c r="J100" s="103"/>
    </row>
    <row r="101" spans="1:10" ht="15.75" x14ac:dyDescent="0.25">
      <c r="A101" s="17"/>
      <c r="B101" s="505"/>
      <c r="C101" s="505"/>
      <c r="D101" s="505"/>
      <c r="E101" s="505"/>
      <c r="F101" s="505"/>
      <c r="G101" s="505"/>
      <c r="H101" s="505"/>
      <c r="I101" s="505"/>
      <c r="J101" s="60"/>
    </row>
    <row r="102" spans="1:10" ht="15.75" x14ac:dyDescent="0.25">
      <c r="A102" s="17"/>
      <c r="B102" s="505"/>
      <c r="C102" s="505"/>
      <c r="D102" s="505"/>
      <c r="E102" s="505"/>
      <c r="F102" s="505"/>
      <c r="G102" s="505"/>
      <c r="H102" s="505"/>
      <c r="I102" s="505"/>
      <c r="J102" s="60"/>
    </row>
    <row r="104" spans="1:10" x14ac:dyDescent="0.25">
      <c r="F104" s="48"/>
      <c r="G104" s="55"/>
      <c r="I104" s="55"/>
      <c r="J104" s="55"/>
    </row>
    <row r="105" spans="1:10" x14ac:dyDescent="0.25">
      <c r="F105" s="49"/>
    </row>
  </sheetData>
  <mergeCells count="16">
    <mergeCell ref="J4:J5"/>
    <mergeCell ref="B1:J1"/>
    <mergeCell ref="B82:I82"/>
    <mergeCell ref="B101:I101"/>
    <mergeCell ref="B102:I102"/>
    <mergeCell ref="C4:C5"/>
    <mergeCell ref="D4:D5"/>
    <mergeCell ref="E4:E5"/>
    <mergeCell ref="F4:F5"/>
    <mergeCell ref="G4:G5"/>
    <mergeCell ref="B6:I6"/>
    <mergeCell ref="B4:B5"/>
    <mergeCell ref="I4:I5"/>
    <mergeCell ref="H4:H5"/>
    <mergeCell ref="B2:J2"/>
    <mergeCell ref="B100:E100"/>
  </mergeCells>
  <printOptions horizontalCentered="1"/>
  <pageMargins left="0.2" right="0.2" top="0.5" bottom="0.75" header="0.3" footer="0.3"/>
  <pageSetup paperSize="10000" scale="8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8"/>
  <sheetViews>
    <sheetView workbookViewId="0">
      <selection activeCell="B79" sqref="B79:M79"/>
    </sheetView>
  </sheetViews>
  <sheetFormatPr defaultRowHeight="15" x14ac:dyDescent="0.25"/>
  <cols>
    <col min="2" max="2" width="17.7109375" customWidth="1"/>
    <col min="3" max="3" width="18.28515625" bestFit="1" customWidth="1"/>
    <col min="4" max="5" width="17.7109375" customWidth="1"/>
  </cols>
  <sheetData>
    <row r="2" spans="2:5" ht="15.75" x14ac:dyDescent="0.25">
      <c r="B2" s="511" t="s">
        <v>434</v>
      </c>
      <c r="C2" s="511"/>
      <c r="D2" s="511"/>
      <c r="E2" s="511"/>
    </row>
    <row r="3" spans="2:5" ht="15.75" x14ac:dyDescent="0.25">
      <c r="B3" s="124"/>
      <c r="C3" s="124"/>
      <c r="D3" s="124"/>
      <c r="E3" s="124"/>
    </row>
    <row r="4" spans="2:5" ht="15.75" x14ac:dyDescent="0.25">
      <c r="B4" s="124" t="s">
        <v>429</v>
      </c>
      <c r="C4" s="125">
        <v>1709949000</v>
      </c>
      <c r="D4" s="124"/>
      <c r="E4" s="124"/>
    </row>
    <row r="5" spans="2:5" ht="15.75" x14ac:dyDescent="0.25">
      <c r="B5" s="124"/>
      <c r="C5" s="124"/>
      <c r="D5" s="124"/>
      <c r="E5" s="124"/>
    </row>
    <row r="6" spans="2:5" ht="15.75" x14ac:dyDescent="0.25">
      <c r="B6" s="126" t="s">
        <v>430</v>
      </c>
      <c r="C6" s="126" t="s">
        <v>431</v>
      </c>
      <c r="D6" s="126" t="s">
        <v>432</v>
      </c>
      <c r="E6" s="126" t="s">
        <v>433</v>
      </c>
    </row>
    <row r="7" spans="2:5" ht="15.75" x14ac:dyDescent="0.25">
      <c r="B7" s="124"/>
      <c r="C7" s="124"/>
      <c r="D7" s="124"/>
      <c r="E7" s="124"/>
    </row>
    <row r="8" spans="2:5" ht="15.75" x14ac:dyDescent="0.25">
      <c r="B8" s="127">
        <f>0.3*C4</f>
        <v>512984700</v>
      </c>
      <c r="C8" s="127">
        <f>0.25*C4</f>
        <v>427487250</v>
      </c>
      <c r="D8" s="127">
        <f>0.25*C4</f>
        <v>427487250</v>
      </c>
      <c r="E8" s="127">
        <f>C4-B8-C8-D8</f>
        <v>341989800</v>
      </c>
    </row>
  </sheetData>
  <mergeCells count="1">
    <mergeCell ref="B2:E2"/>
  </mergeCells>
  <pageMargins left="0.7" right="0.7" top="0.75" bottom="0.75" header="0.3" footer="0.3"/>
  <pageSetup paperSize="256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81"/>
  <sheetViews>
    <sheetView workbookViewId="0">
      <selection activeCell="B79" sqref="B79:M79"/>
    </sheetView>
  </sheetViews>
  <sheetFormatPr defaultRowHeight="15" x14ac:dyDescent="0.25"/>
  <cols>
    <col min="1" max="1" width="9.140625" style="1"/>
    <col min="2" max="2" width="4.85546875" style="1" customWidth="1"/>
    <col min="3" max="3" width="24.28515625" style="74" customWidth="1"/>
    <col min="4" max="4" width="24" style="1" customWidth="1"/>
    <col min="5" max="5" width="8.42578125" style="1" customWidth="1"/>
    <col min="6" max="6" width="17.28515625" style="1" customWidth="1"/>
    <col min="7" max="7" width="16.7109375" style="1" customWidth="1"/>
    <col min="8" max="8" width="26" style="1" hidden="1" customWidth="1"/>
    <col min="9" max="10" width="15.7109375" style="1" customWidth="1"/>
    <col min="11" max="12" width="16.7109375" style="1" customWidth="1"/>
    <col min="13" max="13" width="9.140625" style="1"/>
    <col min="14" max="14" width="16.5703125" style="1" bestFit="1" customWidth="1"/>
    <col min="15" max="16384" width="9.140625" style="1"/>
  </cols>
  <sheetData>
    <row r="2" spans="2:14" ht="18.75" x14ac:dyDescent="0.3">
      <c r="B2" s="467" t="s">
        <v>441</v>
      </c>
      <c r="C2" s="467"/>
      <c r="D2" s="467"/>
      <c r="E2" s="467"/>
      <c r="F2" s="467"/>
      <c r="G2" s="467"/>
      <c r="H2" s="467"/>
      <c r="I2" s="467"/>
      <c r="J2" s="467"/>
      <c r="K2" s="467"/>
      <c r="L2" s="467"/>
    </row>
    <row r="4" spans="2:14" ht="15.75" x14ac:dyDescent="0.25">
      <c r="B4" s="17"/>
      <c r="C4" s="124" t="s">
        <v>429</v>
      </c>
      <c r="D4" s="125">
        <v>1709949000</v>
      </c>
      <c r="E4" s="124"/>
      <c r="F4" s="129" t="s">
        <v>430</v>
      </c>
      <c r="G4" s="127">
        <f>0.3*$D$4</f>
        <v>512984700</v>
      </c>
      <c r="I4" s="76"/>
      <c r="K4" s="73"/>
      <c r="L4" s="73"/>
    </row>
    <row r="5" spans="2:14" ht="15.75" x14ac:dyDescent="0.25">
      <c r="C5" s="124"/>
      <c r="D5" s="124"/>
      <c r="E5" s="124"/>
      <c r="F5" s="129" t="s">
        <v>431</v>
      </c>
      <c r="G5" s="127">
        <f>0.25*$D$4</f>
        <v>427487250</v>
      </c>
      <c r="I5" s="76"/>
      <c r="N5" s="73"/>
    </row>
    <row r="6" spans="2:14" ht="15.75" x14ac:dyDescent="0.25">
      <c r="C6" s="129"/>
      <c r="D6" s="127"/>
      <c r="E6" s="126"/>
      <c r="F6" s="129" t="s">
        <v>440</v>
      </c>
      <c r="G6" s="127">
        <f>0.25*$D$4</f>
        <v>427487250</v>
      </c>
      <c r="I6" s="76"/>
    </row>
    <row r="7" spans="2:14" ht="15.75" x14ac:dyDescent="0.25">
      <c r="C7" s="129"/>
      <c r="D7" s="127"/>
      <c r="E7" s="124"/>
      <c r="F7" s="130" t="s">
        <v>433</v>
      </c>
      <c r="G7" s="127">
        <f>D4-G4-G5-G6</f>
        <v>341989800</v>
      </c>
      <c r="I7" s="73"/>
    </row>
    <row r="9" spans="2:14" ht="18.75" x14ac:dyDescent="0.3">
      <c r="B9" s="467" t="s">
        <v>474</v>
      </c>
      <c r="C9" s="467"/>
      <c r="D9" s="467"/>
      <c r="E9" s="467"/>
      <c r="F9" s="467"/>
      <c r="G9" s="467"/>
      <c r="H9" s="467"/>
      <c r="I9" s="467"/>
      <c r="J9" s="467"/>
      <c r="K9" s="467"/>
      <c r="L9" s="467"/>
    </row>
    <row r="10" spans="2:14" ht="15.75" thickBot="1" x14ac:dyDescent="0.3">
      <c r="C10" s="1"/>
    </row>
    <row r="11" spans="2:14" ht="15.75" customHeight="1" thickBot="1" x14ac:dyDescent="0.3">
      <c r="B11" s="476" t="s">
        <v>0</v>
      </c>
      <c r="C11" s="476" t="s">
        <v>159</v>
      </c>
      <c r="D11" s="476" t="s">
        <v>160</v>
      </c>
      <c r="E11" s="476" t="s">
        <v>161</v>
      </c>
      <c r="F11" s="506" t="s">
        <v>162</v>
      </c>
      <c r="G11" s="520" t="s">
        <v>163</v>
      </c>
      <c r="H11" s="476" t="s">
        <v>164</v>
      </c>
      <c r="I11" s="522" t="s">
        <v>484</v>
      </c>
      <c r="J11" s="523"/>
      <c r="K11" s="523"/>
      <c r="L11" s="524"/>
    </row>
    <row r="12" spans="2:14" ht="15.75" thickBot="1" x14ac:dyDescent="0.3">
      <c r="B12" s="477"/>
      <c r="C12" s="477"/>
      <c r="D12" s="477"/>
      <c r="E12" s="477"/>
      <c r="F12" s="507"/>
      <c r="G12" s="521"/>
      <c r="H12" s="477"/>
      <c r="I12" s="128" t="s">
        <v>435</v>
      </c>
      <c r="J12" s="2" t="s">
        <v>436</v>
      </c>
      <c r="K12" s="2" t="s">
        <v>437</v>
      </c>
      <c r="L12" s="2" t="s">
        <v>438</v>
      </c>
    </row>
    <row r="13" spans="2:14" ht="16.5" thickBot="1" x14ac:dyDescent="0.3">
      <c r="B13" s="503" t="s">
        <v>165</v>
      </c>
      <c r="C13" s="504"/>
      <c r="D13" s="504"/>
      <c r="E13" s="504"/>
      <c r="F13" s="504"/>
      <c r="G13" s="504"/>
      <c r="H13" s="504"/>
      <c r="I13" s="504"/>
      <c r="J13" s="504"/>
      <c r="K13" s="504"/>
      <c r="L13" s="519"/>
    </row>
    <row r="14" spans="2:14" ht="15.75" x14ac:dyDescent="0.25">
      <c r="B14" s="64"/>
      <c r="C14" s="64"/>
      <c r="D14" s="64"/>
      <c r="E14" s="64"/>
      <c r="F14" s="64"/>
      <c r="G14" s="64"/>
      <c r="H14" s="64"/>
      <c r="I14" s="65"/>
      <c r="J14" s="65"/>
      <c r="K14" s="65"/>
      <c r="L14" s="65"/>
    </row>
    <row r="15" spans="2:14" ht="15" customHeight="1" x14ac:dyDescent="0.25">
      <c r="B15" s="4">
        <v>1</v>
      </c>
      <c r="C15" s="66" t="s">
        <v>96</v>
      </c>
      <c r="D15" s="66" t="s">
        <v>450</v>
      </c>
      <c r="E15" s="4" t="s">
        <v>451</v>
      </c>
      <c r="F15" s="5">
        <v>70000000</v>
      </c>
      <c r="G15" s="5"/>
      <c r="H15" s="66" t="s">
        <v>419</v>
      </c>
      <c r="I15" s="5">
        <f>F15</f>
        <v>70000000</v>
      </c>
      <c r="J15" s="5"/>
      <c r="K15" s="5"/>
      <c r="L15" s="5"/>
    </row>
    <row r="16" spans="2:14" x14ac:dyDescent="0.25">
      <c r="B16" s="6"/>
      <c r="C16" s="38"/>
      <c r="D16" s="38"/>
      <c r="E16" s="6"/>
      <c r="F16" s="7"/>
      <c r="G16" s="7"/>
      <c r="H16" s="67"/>
      <c r="I16" s="5"/>
      <c r="J16" s="5"/>
      <c r="K16" s="5"/>
      <c r="L16" s="5"/>
    </row>
    <row r="17" spans="2:14" x14ac:dyDescent="0.25">
      <c r="B17" s="6">
        <v>2</v>
      </c>
      <c r="C17" s="66" t="s">
        <v>96</v>
      </c>
      <c r="D17" s="66" t="s">
        <v>450</v>
      </c>
      <c r="E17" s="4" t="s">
        <v>451</v>
      </c>
      <c r="F17" s="7">
        <v>70000000</v>
      </c>
      <c r="G17" s="7"/>
      <c r="H17" s="38" t="s">
        <v>462</v>
      </c>
      <c r="I17" s="5">
        <f>F17</f>
        <v>70000000</v>
      </c>
      <c r="J17" s="5"/>
      <c r="K17" s="5"/>
      <c r="L17" s="5"/>
    </row>
    <row r="18" spans="2:14" x14ac:dyDescent="0.25">
      <c r="B18" s="6"/>
      <c r="C18" s="38"/>
      <c r="D18" s="38"/>
      <c r="E18" s="6"/>
      <c r="F18" s="7"/>
      <c r="G18" s="7"/>
      <c r="H18" s="67"/>
      <c r="I18" s="5"/>
      <c r="J18" s="5"/>
      <c r="K18" s="5"/>
      <c r="L18" s="5"/>
    </row>
    <row r="19" spans="2:14" x14ac:dyDescent="0.25">
      <c r="B19" s="6">
        <v>3</v>
      </c>
      <c r="C19" s="66" t="s">
        <v>96</v>
      </c>
      <c r="D19" s="66" t="s">
        <v>450</v>
      </c>
      <c r="E19" s="4" t="s">
        <v>451</v>
      </c>
      <c r="F19" s="7">
        <v>70000000</v>
      </c>
      <c r="G19" s="7"/>
      <c r="H19" s="67" t="s">
        <v>101</v>
      </c>
      <c r="I19" s="5">
        <f>F19</f>
        <v>70000000</v>
      </c>
      <c r="J19" s="5"/>
      <c r="K19" s="5"/>
      <c r="L19" s="5"/>
    </row>
    <row r="20" spans="2:14" x14ac:dyDescent="0.25">
      <c r="B20" s="6"/>
      <c r="C20" s="38"/>
      <c r="D20" s="38"/>
      <c r="E20" s="6"/>
      <c r="F20" s="7"/>
      <c r="G20" s="7"/>
      <c r="H20" s="67"/>
      <c r="I20" s="5"/>
      <c r="J20" s="5"/>
      <c r="K20" s="5"/>
      <c r="L20" s="5"/>
    </row>
    <row r="21" spans="2:14" x14ac:dyDescent="0.25">
      <c r="B21" s="6">
        <v>4</v>
      </c>
      <c r="C21" s="66" t="s">
        <v>96</v>
      </c>
      <c r="D21" s="66" t="s">
        <v>450</v>
      </c>
      <c r="E21" s="4" t="s">
        <v>451</v>
      </c>
      <c r="F21" s="7">
        <v>70000000</v>
      </c>
      <c r="G21" s="7"/>
      <c r="H21" s="66" t="s">
        <v>419</v>
      </c>
      <c r="I21" s="5">
        <v>70000000</v>
      </c>
      <c r="J21" s="5"/>
      <c r="K21" s="5"/>
      <c r="L21" s="5"/>
    </row>
    <row r="22" spans="2:14" x14ac:dyDescent="0.25">
      <c r="B22" s="6"/>
      <c r="C22" s="38"/>
      <c r="D22" s="38"/>
      <c r="E22" s="6"/>
      <c r="F22" s="7"/>
      <c r="G22" s="7"/>
      <c r="H22" s="67"/>
      <c r="I22" s="5"/>
      <c r="J22" s="5"/>
      <c r="K22" s="5"/>
      <c r="L22" s="5"/>
    </row>
    <row r="23" spans="2:14" x14ac:dyDescent="0.25">
      <c r="B23" s="6">
        <v>5</v>
      </c>
      <c r="C23" s="38" t="s">
        <v>421</v>
      </c>
      <c r="D23" s="38" t="s">
        <v>450</v>
      </c>
      <c r="E23" s="6" t="s">
        <v>452</v>
      </c>
      <c r="F23" s="7">
        <v>80000000</v>
      </c>
      <c r="G23" s="7"/>
      <c r="H23" s="38" t="s">
        <v>419</v>
      </c>
      <c r="I23" s="5">
        <f>F23</f>
        <v>80000000</v>
      </c>
      <c r="J23" s="5"/>
      <c r="K23" s="5"/>
      <c r="L23" s="5"/>
    </row>
    <row r="24" spans="2:14" x14ac:dyDescent="0.25">
      <c r="B24" s="6"/>
      <c r="C24" s="38"/>
      <c r="D24" s="38"/>
      <c r="E24" s="6"/>
      <c r="F24" s="7"/>
      <c r="G24" s="7"/>
      <c r="H24" s="67"/>
      <c r="I24" s="7"/>
      <c r="J24" s="5"/>
      <c r="K24" s="5"/>
      <c r="L24" s="5"/>
    </row>
    <row r="25" spans="2:14" x14ac:dyDescent="0.25">
      <c r="B25" s="6">
        <v>6</v>
      </c>
      <c r="C25" s="38" t="s">
        <v>103</v>
      </c>
      <c r="D25" s="38" t="s">
        <v>446</v>
      </c>
      <c r="E25" s="6" t="s">
        <v>453</v>
      </c>
      <c r="F25" s="7">
        <v>56000000</v>
      </c>
      <c r="G25" s="39"/>
      <c r="H25" s="106" t="s">
        <v>463</v>
      </c>
      <c r="I25" s="7">
        <f>F25</f>
        <v>56000000</v>
      </c>
      <c r="J25" s="5"/>
      <c r="K25" s="5"/>
      <c r="L25" s="5"/>
    </row>
    <row r="26" spans="2:14" x14ac:dyDescent="0.25">
      <c r="B26" s="6"/>
      <c r="C26" s="38"/>
      <c r="D26" s="38"/>
      <c r="E26" s="6"/>
      <c r="F26" s="7"/>
      <c r="G26" s="7"/>
      <c r="H26" s="122"/>
      <c r="I26" s="5"/>
      <c r="J26" s="5"/>
      <c r="K26" s="5"/>
      <c r="L26" s="5"/>
    </row>
    <row r="27" spans="2:14" x14ac:dyDescent="0.25">
      <c r="B27" s="6">
        <v>7</v>
      </c>
      <c r="C27" s="38" t="s">
        <v>106</v>
      </c>
      <c r="D27" s="38" t="s">
        <v>446</v>
      </c>
      <c r="E27" s="6" t="s">
        <v>453</v>
      </c>
      <c r="F27" s="7">
        <v>39400000</v>
      </c>
      <c r="G27" s="39"/>
      <c r="H27" s="106"/>
      <c r="I27" s="5"/>
      <c r="J27" s="5">
        <f>F27</f>
        <v>39400000</v>
      </c>
      <c r="K27" s="5"/>
      <c r="L27" s="5"/>
    </row>
    <row r="28" spans="2:14" x14ac:dyDescent="0.25">
      <c r="B28" s="40"/>
      <c r="C28" s="41"/>
      <c r="D28" s="41"/>
      <c r="E28" s="40"/>
      <c r="F28" s="39"/>
      <c r="G28" s="39"/>
      <c r="H28" s="106"/>
      <c r="I28" s="5"/>
      <c r="J28" s="5"/>
      <c r="K28" s="5"/>
      <c r="L28" s="5"/>
    </row>
    <row r="29" spans="2:14" x14ac:dyDescent="0.25">
      <c r="B29" s="40">
        <v>8</v>
      </c>
      <c r="C29" s="41" t="s">
        <v>454</v>
      </c>
      <c r="D29" s="41" t="s">
        <v>446</v>
      </c>
      <c r="E29" s="40" t="s">
        <v>453</v>
      </c>
      <c r="F29" s="39">
        <v>108600000</v>
      </c>
      <c r="G29" s="39"/>
      <c r="H29" s="106"/>
      <c r="I29" s="5"/>
      <c r="J29" s="5">
        <f>F29</f>
        <v>108600000</v>
      </c>
      <c r="K29" s="5"/>
      <c r="L29" s="5"/>
    </row>
    <row r="30" spans="2:14" x14ac:dyDescent="0.25">
      <c r="B30" s="40"/>
      <c r="C30" s="41" t="s">
        <v>455</v>
      </c>
      <c r="D30" s="41"/>
      <c r="E30" s="40"/>
      <c r="F30" s="39"/>
      <c r="G30" s="39"/>
      <c r="H30" s="106"/>
      <c r="I30" s="5"/>
      <c r="J30" s="5"/>
      <c r="K30" s="5"/>
      <c r="L30" s="5"/>
    </row>
    <row r="31" spans="2:14" x14ac:dyDescent="0.25">
      <c r="B31" s="40"/>
      <c r="C31" s="41"/>
      <c r="D31" s="41"/>
      <c r="E31" s="40"/>
      <c r="F31" s="39"/>
      <c r="G31" s="39"/>
      <c r="H31" s="68"/>
      <c r="I31" s="5"/>
      <c r="J31" s="5"/>
      <c r="K31" s="5"/>
      <c r="L31" s="5"/>
    </row>
    <row r="32" spans="2:14" ht="15" customHeight="1" x14ac:dyDescent="0.25">
      <c r="B32" s="40">
        <v>9</v>
      </c>
      <c r="C32" s="41" t="s">
        <v>107</v>
      </c>
      <c r="D32" s="41" t="s">
        <v>458</v>
      </c>
      <c r="E32" s="40" t="s">
        <v>460</v>
      </c>
      <c r="F32" s="39">
        <v>10600000</v>
      </c>
      <c r="G32" s="39"/>
      <c r="H32" s="68" t="s">
        <v>108</v>
      </c>
      <c r="I32" s="5">
        <f>F32</f>
        <v>10600000</v>
      </c>
      <c r="J32" s="5"/>
      <c r="K32" s="5"/>
      <c r="L32" s="5"/>
      <c r="N32" s="1" t="s">
        <v>461</v>
      </c>
    </row>
    <row r="33" spans="1:14" x14ac:dyDescent="0.25">
      <c r="B33" s="40"/>
      <c r="C33" s="41" t="s">
        <v>457</v>
      </c>
      <c r="D33" s="41"/>
      <c r="E33" s="40"/>
      <c r="F33" s="39"/>
      <c r="G33" s="39"/>
      <c r="H33" s="68"/>
      <c r="I33" s="5"/>
      <c r="J33" s="5"/>
      <c r="K33" s="5"/>
      <c r="L33" s="5"/>
    </row>
    <row r="34" spans="1:14" x14ac:dyDescent="0.25">
      <c r="B34" s="40"/>
      <c r="C34" s="41"/>
      <c r="D34" s="41"/>
      <c r="E34" s="40"/>
      <c r="F34" s="39"/>
      <c r="G34" s="39"/>
      <c r="H34" s="68"/>
      <c r="I34" s="5"/>
      <c r="J34" s="5"/>
      <c r="K34" s="5"/>
      <c r="L34" s="5"/>
    </row>
    <row r="35" spans="1:14" ht="15" customHeight="1" x14ac:dyDescent="0.25">
      <c r="B35" s="40">
        <v>10</v>
      </c>
      <c r="C35" s="41" t="s">
        <v>109</v>
      </c>
      <c r="D35" s="41" t="s">
        <v>459</v>
      </c>
      <c r="E35" s="40" t="s">
        <v>460</v>
      </c>
      <c r="F35" s="39">
        <v>6475000</v>
      </c>
      <c r="G35" s="39"/>
      <c r="H35" s="68"/>
      <c r="I35" s="5"/>
      <c r="J35" s="5">
        <f>F35</f>
        <v>6475000</v>
      </c>
      <c r="K35" s="5"/>
      <c r="L35" s="5"/>
    </row>
    <row r="36" spans="1:14" x14ac:dyDescent="0.25">
      <c r="B36" s="40"/>
      <c r="C36" s="41" t="s">
        <v>457</v>
      </c>
      <c r="D36" s="41"/>
      <c r="E36" s="40"/>
      <c r="F36" s="39"/>
      <c r="G36" s="39"/>
      <c r="H36" s="68"/>
      <c r="I36" s="5"/>
      <c r="J36" s="5"/>
      <c r="K36" s="5"/>
      <c r="L36" s="5"/>
    </row>
    <row r="37" spans="1:14" x14ac:dyDescent="0.25">
      <c r="B37" s="40"/>
      <c r="C37" s="41"/>
      <c r="D37" s="41"/>
      <c r="E37" s="40"/>
      <c r="F37" s="39"/>
      <c r="G37" s="39"/>
      <c r="H37" s="68"/>
      <c r="I37" s="5"/>
      <c r="J37" s="5"/>
      <c r="K37" s="5"/>
      <c r="L37" s="5"/>
    </row>
    <row r="38" spans="1:14" ht="15" customHeight="1" x14ac:dyDescent="0.25">
      <c r="A38" s="1" t="s">
        <v>456</v>
      </c>
      <c r="B38" s="40">
        <v>11</v>
      </c>
      <c r="C38" s="41" t="s">
        <v>442</v>
      </c>
      <c r="D38" s="41"/>
      <c r="E38" s="40" t="s">
        <v>166</v>
      </c>
      <c r="F38" s="39">
        <v>16925000</v>
      </c>
      <c r="G38" s="39"/>
      <c r="H38" s="68"/>
      <c r="I38" s="5">
        <v>4000000</v>
      </c>
      <c r="J38" s="5">
        <v>4000000</v>
      </c>
      <c r="K38" s="5">
        <v>8925000</v>
      </c>
      <c r="L38" s="5"/>
    </row>
    <row r="39" spans="1:14" ht="15.75" thickBot="1" x14ac:dyDescent="0.3">
      <c r="B39" s="40"/>
      <c r="C39" s="41"/>
      <c r="D39" s="41"/>
      <c r="E39" s="40"/>
      <c r="F39" s="39"/>
      <c r="G39" s="39"/>
      <c r="H39" s="68"/>
      <c r="I39" s="42"/>
      <c r="J39" s="42"/>
      <c r="K39" s="42"/>
      <c r="L39" s="42"/>
    </row>
    <row r="40" spans="1:14" ht="16.5" thickBot="1" x14ac:dyDescent="0.3">
      <c r="B40" s="516" t="s">
        <v>31</v>
      </c>
      <c r="C40" s="517"/>
      <c r="D40" s="517"/>
      <c r="E40" s="518"/>
      <c r="F40" s="70">
        <f>SUM(F15:F38)</f>
        <v>598000000</v>
      </c>
      <c r="G40" s="70">
        <f>I40+J40+K40+L40</f>
        <v>598000000</v>
      </c>
      <c r="H40" s="71"/>
      <c r="I40" s="70">
        <f>SUM(I15:I38)</f>
        <v>430600000</v>
      </c>
      <c r="J40" s="70">
        <f>SUM(J15:J38)</f>
        <v>158475000</v>
      </c>
      <c r="K40" s="70">
        <f>SUM(K15:K38)</f>
        <v>8925000</v>
      </c>
      <c r="L40" s="70">
        <f>SUM(L15:L38)</f>
        <v>0</v>
      </c>
    </row>
    <row r="41" spans="1:14" ht="15.75" thickBot="1" x14ac:dyDescent="0.3">
      <c r="B41" s="513"/>
      <c r="C41" s="514"/>
      <c r="D41" s="514"/>
      <c r="E41" s="514"/>
      <c r="F41" s="514"/>
      <c r="G41" s="514"/>
      <c r="H41" s="514"/>
      <c r="I41" s="514"/>
      <c r="J41" s="514"/>
      <c r="K41" s="514"/>
      <c r="L41" s="515"/>
      <c r="N41" s="73"/>
    </row>
    <row r="42" spans="1:14" ht="15.75" thickBot="1" x14ac:dyDescent="0.3">
      <c r="B42" s="513"/>
      <c r="C42" s="514"/>
      <c r="D42" s="514"/>
      <c r="E42" s="514"/>
      <c r="F42" s="514"/>
      <c r="G42" s="514"/>
      <c r="H42" s="514"/>
      <c r="I42" s="514"/>
      <c r="J42" s="514"/>
      <c r="K42" s="514"/>
      <c r="L42" s="515"/>
    </row>
    <row r="43" spans="1:14" ht="16.5" thickBot="1" x14ac:dyDescent="0.3">
      <c r="B43" s="503" t="s">
        <v>439</v>
      </c>
      <c r="C43" s="504"/>
      <c r="D43" s="504"/>
      <c r="E43" s="504"/>
      <c r="F43" s="504"/>
      <c r="G43" s="504"/>
      <c r="H43" s="504"/>
      <c r="I43" s="504"/>
      <c r="J43" s="504"/>
      <c r="K43" s="504"/>
      <c r="L43" s="123"/>
    </row>
    <row r="44" spans="1:14" x14ac:dyDescent="0.25">
      <c r="B44" s="45"/>
      <c r="C44" s="46"/>
      <c r="D44" s="46"/>
      <c r="E44" s="45"/>
      <c r="F44" s="47"/>
      <c r="G44" s="47"/>
      <c r="H44" s="23"/>
      <c r="I44" s="5"/>
      <c r="J44" s="5"/>
      <c r="K44" s="5"/>
      <c r="L44" s="5"/>
      <c r="N44" s="73"/>
    </row>
    <row r="45" spans="1:14" x14ac:dyDescent="0.25">
      <c r="B45" s="40">
        <v>1</v>
      </c>
      <c r="C45" s="41" t="s">
        <v>444</v>
      </c>
      <c r="D45" s="41" t="s">
        <v>446</v>
      </c>
      <c r="E45" s="40" t="s">
        <v>449</v>
      </c>
      <c r="F45" s="39">
        <v>720000000</v>
      </c>
      <c r="G45" s="39"/>
      <c r="H45" s="68" t="s">
        <v>470</v>
      </c>
      <c r="I45" s="140"/>
      <c r="J45" s="139">
        <v>240000000</v>
      </c>
      <c r="K45" s="139">
        <v>480000000</v>
      </c>
      <c r="L45" s="5"/>
      <c r="N45" s="512" t="s">
        <v>475</v>
      </c>
    </row>
    <row r="46" spans="1:14" x14ac:dyDescent="0.25">
      <c r="B46" s="40"/>
      <c r="C46" s="41" t="s">
        <v>445</v>
      </c>
      <c r="D46" s="41"/>
      <c r="E46" s="40"/>
      <c r="F46" s="39"/>
      <c r="G46" s="39"/>
      <c r="H46" s="68"/>
      <c r="I46" s="5"/>
      <c r="J46" s="5"/>
      <c r="K46" s="5"/>
      <c r="L46" s="5"/>
      <c r="N46" s="512"/>
    </row>
    <row r="47" spans="1:14" x14ac:dyDescent="0.25">
      <c r="B47" s="40"/>
      <c r="C47" s="41"/>
      <c r="D47" s="41"/>
      <c r="E47" s="40"/>
      <c r="F47" s="39"/>
      <c r="G47" s="39"/>
      <c r="H47" s="68"/>
      <c r="I47" s="5"/>
      <c r="J47" s="5"/>
      <c r="K47" s="5"/>
      <c r="L47" s="5"/>
      <c r="N47" s="512"/>
    </row>
    <row r="48" spans="1:14" x14ac:dyDescent="0.25">
      <c r="B48" s="40">
        <v>2</v>
      </c>
      <c r="C48" s="41" t="s">
        <v>119</v>
      </c>
      <c r="D48" s="41" t="s">
        <v>446</v>
      </c>
      <c r="E48" s="40" t="s">
        <v>449</v>
      </c>
      <c r="F48" s="39">
        <v>360000000</v>
      </c>
      <c r="G48" s="39"/>
      <c r="H48" s="68" t="s">
        <v>464</v>
      </c>
      <c r="I48" s="5"/>
      <c r="J48" s="5"/>
      <c r="K48" s="5"/>
      <c r="L48" s="5">
        <v>360000000</v>
      </c>
    </row>
    <row r="49" spans="2:14" x14ac:dyDescent="0.25">
      <c r="B49" s="40"/>
      <c r="C49" s="41"/>
      <c r="D49" s="41"/>
      <c r="E49" s="40"/>
      <c r="F49" s="39"/>
      <c r="G49" s="39"/>
      <c r="H49" s="68"/>
      <c r="I49" s="5"/>
      <c r="J49" s="5"/>
      <c r="K49" s="5"/>
      <c r="L49" s="5"/>
    </row>
    <row r="50" spans="2:14" x14ac:dyDescent="0.25">
      <c r="B50" s="40">
        <v>3</v>
      </c>
      <c r="C50" s="41" t="s">
        <v>443</v>
      </c>
      <c r="D50" s="41" t="s">
        <v>446</v>
      </c>
      <c r="E50" s="40" t="s">
        <v>447</v>
      </c>
      <c r="F50" s="39">
        <v>8000000</v>
      </c>
      <c r="G50" s="39"/>
      <c r="H50" s="68"/>
      <c r="I50" s="5">
        <v>4000000</v>
      </c>
      <c r="J50" s="5">
        <v>4000000</v>
      </c>
      <c r="K50" s="5"/>
      <c r="L50" s="5"/>
    </row>
    <row r="51" spans="2:14" x14ac:dyDescent="0.25">
      <c r="B51" s="40"/>
      <c r="C51" s="41"/>
      <c r="D51" s="41"/>
      <c r="E51" s="40"/>
      <c r="F51" s="39"/>
      <c r="G51" s="39"/>
      <c r="H51" s="68"/>
      <c r="I51" s="5"/>
      <c r="J51" s="5"/>
      <c r="K51" s="5"/>
      <c r="L51" s="5"/>
    </row>
    <row r="52" spans="2:14" x14ac:dyDescent="0.25">
      <c r="B52" s="40">
        <v>4</v>
      </c>
      <c r="C52" s="41" t="s">
        <v>442</v>
      </c>
      <c r="D52" s="41" t="s">
        <v>448</v>
      </c>
      <c r="E52" s="40" t="s">
        <v>166</v>
      </c>
      <c r="F52" s="39">
        <v>23949000</v>
      </c>
      <c r="G52" s="39"/>
      <c r="H52" s="68"/>
      <c r="I52" s="5">
        <v>4000000</v>
      </c>
      <c r="J52" s="5">
        <v>16949000</v>
      </c>
      <c r="K52" s="5">
        <v>3000000</v>
      </c>
      <c r="L52" s="5"/>
    </row>
    <row r="53" spans="2:14" ht="15.75" thickBot="1" x14ac:dyDescent="0.3">
      <c r="B53" s="40"/>
      <c r="C53" s="41"/>
      <c r="D53" s="41"/>
      <c r="E53" s="40"/>
      <c r="F53" s="39"/>
      <c r="G53" s="39"/>
      <c r="H53" s="68"/>
      <c r="I53" s="42"/>
      <c r="J53" s="42"/>
      <c r="K53" s="42"/>
      <c r="L53" s="42"/>
    </row>
    <row r="54" spans="2:14" ht="16.5" thickBot="1" x14ac:dyDescent="0.3">
      <c r="B54" s="516" t="s">
        <v>31</v>
      </c>
      <c r="C54" s="517"/>
      <c r="D54" s="517"/>
      <c r="E54" s="518"/>
      <c r="F54" s="70">
        <f>SUM(F45:F52)</f>
        <v>1111949000</v>
      </c>
      <c r="G54" s="70">
        <f>I54+J54+K54+L54</f>
        <v>1111949000</v>
      </c>
      <c r="H54" s="71"/>
      <c r="I54" s="70">
        <f>SUM(I45:I52)</f>
        <v>8000000</v>
      </c>
      <c r="J54" s="70">
        <f>SUM(J45:J52)</f>
        <v>260949000</v>
      </c>
      <c r="K54" s="70">
        <f>SUM(K45:K52)</f>
        <v>483000000</v>
      </c>
      <c r="L54" s="70">
        <f>SUM(L45:L52)</f>
        <v>360000000</v>
      </c>
    </row>
    <row r="55" spans="2:14" ht="16.5" thickBot="1" x14ac:dyDescent="0.3">
      <c r="B55" s="516" t="s">
        <v>168</v>
      </c>
      <c r="C55" s="517"/>
      <c r="D55" s="517"/>
      <c r="E55" s="518"/>
      <c r="F55" s="75">
        <f>F54+F40</f>
        <v>1709949000</v>
      </c>
      <c r="G55" s="44"/>
      <c r="H55" s="69" t="s">
        <v>167</v>
      </c>
      <c r="I55" s="72">
        <f>I54+I40</f>
        <v>438600000</v>
      </c>
      <c r="J55" s="72">
        <f>J54+J40</f>
        <v>419424000</v>
      </c>
      <c r="K55" s="72">
        <f>K54+K40</f>
        <v>491925000</v>
      </c>
      <c r="L55" s="72">
        <f>L54+L40</f>
        <v>360000000</v>
      </c>
      <c r="N55" s="73"/>
    </row>
    <row r="56" spans="2:14" x14ac:dyDescent="0.25">
      <c r="C56" s="1"/>
      <c r="K56" s="73"/>
      <c r="L56" s="73"/>
    </row>
    <row r="57" spans="2:14" x14ac:dyDescent="0.25">
      <c r="C57" s="1"/>
      <c r="I57" s="136" t="s">
        <v>430</v>
      </c>
      <c r="J57" s="136" t="s">
        <v>431</v>
      </c>
      <c r="K57" s="136" t="s">
        <v>432</v>
      </c>
      <c r="L57" s="136" t="s">
        <v>473</v>
      </c>
    </row>
    <row r="58" spans="2:14" ht="15.75" x14ac:dyDescent="0.25">
      <c r="D58" s="73"/>
      <c r="E58" s="137"/>
      <c r="F58" s="137"/>
      <c r="G58" s="77" t="s">
        <v>466</v>
      </c>
      <c r="H58" s="77" t="s">
        <v>466</v>
      </c>
      <c r="I58" s="76">
        <f>G4</f>
        <v>512984700</v>
      </c>
      <c r="J58" s="131">
        <f>G5</f>
        <v>427487250</v>
      </c>
      <c r="K58" s="132">
        <f>G6</f>
        <v>427487250</v>
      </c>
      <c r="L58" s="131">
        <f>G7</f>
        <v>341989800</v>
      </c>
      <c r="N58" s="1" t="s">
        <v>469</v>
      </c>
    </row>
    <row r="59" spans="2:14" ht="15.75" x14ac:dyDescent="0.25">
      <c r="E59" s="73"/>
      <c r="F59" s="73"/>
      <c r="G59" s="77" t="s">
        <v>467</v>
      </c>
      <c r="H59" s="77" t="s">
        <v>467</v>
      </c>
      <c r="I59" s="73">
        <f>I58</f>
        <v>512984700</v>
      </c>
      <c r="J59" s="132">
        <f>J58+I60</f>
        <v>501871950</v>
      </c>
      <c r="K59" s="132">
        <f>K58+J60</f>
        <v>509935200</v>
      </c>
      <c r="L59" s="73">
        <f>L58+K60</f>
        <v>360000000</v>
      </c>
    </row>
    <row r="60" spans="2:14" ht="15.75" x14ac:dyDescent="0.25">
      <c r="G60" s="77" t="s">
        <v>465</v>
      </c>
      <c r="H60" s="77" t="s">
        <v>465</v>
      </c>
      <c r="I60" s="73">
        <f>I59-I55</f>
        <v>74384700</v>
      </c>
      <c r="J60" s="73">
        <f>J59-J55</f>
        <v>82447950</v>
      </c>
      <c r="K60" s="132">
        <f>K59-K55</f>
        <v>18010200</v>
      </c>
      <c r="L60" s="73">
        <f>L59-L55</f>
        <v>0</v>
      </c>
    </row>
    <row r="61" spans="2:14" ht="15.75" x14ac:dyDescent="0.25">
      <c r="G61" s="134" t="s">
        <v>468</v>
      </c>
      <c r="H61" s="134" t="s">
        <v>468</v>
      </c>
      <c r="I61" s="135">
        <f>(I55/I59)*100</f>
        <v>85.499626012237798</v>
      </c>
      <c r="J61" s="135">
        <f>(J55/J59)*100</f>
        <v>83.57191510703079</v>
      </c>
      <c r="K61" s="138">
        <f>(K55/K59)*100</f>
        <v>96.46813948125174</v>
      </c>
      <c r="L61" s="135">
        <f>(L55/L59)*100</f>
        <v>100</v>
      </c>
    </row>
    <row r="62" spans="2:14" x14ac:dyDescent="0.25">
      <c r="C62" s="1" t="s">
        <v>476</v>
      </c>
      <c r="D62" s="73" t="s">
        <v>480</v>
      </c>
      <c r="G62" s="73"/>
      <c r="H62" s="133"/>
    </row>
    <row r="63" spans="2:14" x14ac:dyDescent="0.25">
      <c r="C63" s="1" t="s">
        <v>477</v>
      </c>
      <c r="D63" s="73" t="s">
        <v>483</v>
      </c>
      <c r="J63" s="73"/>
      <c r="K63" s="73"/>
    </row>
    <row r="64" spans="2:14" x14ac:dyDescent="0.25">
      <c r="C64" s="1" t="s">
        <v>481</v>
      </c>
      <c r="D64" s="1" t="s">
        <v>482</v>
      </c>
    </row>
    <row r="65" spans="3:11" x14ac:dyDescent="0.25">
      <c r="C65" s="1" t="s">
        <v>478</v>
      </c>
      <c r="D65" s="1" t="s">
        <v>479</v>
      </c>
    </row>
    <row r="67" spans="3:11" x14ac:dyDescent="0.25">
      <c r="H67" s="1">
        <v>3150000</v>
      </c>
      <c r="I67" s="1">
        <f>H67*4</f>
        <v>12600000</v>
      </c>
    </row>
    <row r="68" spans="3:11" x14ac:dyDescent="0.25">
      <c r="H68" s="1">
        <v>11250000</v>
      </c>
      <c r="I68" s="1">
        <f>H68*4</f>
        <v>45000000</v>
      </c>
    </row>
    <row r="69" spans="3:11" x14ac:dyDescent="0.25">
      <c r="H69" s="1">
        <v>9000000</v>
      </c>
      <c r="I69" s="1">
        <f>H69*4</f>
        <v>36000000</v>
      </c>
    </row>
    <row r="70" spans="3:11" x14ac:dyDescent="0.25">
      <c r="C70" s="1" t="s">
        <v>471</v>
      </c>
      <c r="D70" s="1">
        <v>40000000</v>
      </c>
      <c r="E70" s="1">
        <v>12</v>
      </c>
      <c r="F70" s="1">
        <f>E70*D70</f>
        <v>480000000</v>
      </c>
      <c r="G70" s="1">
        <f>0.3*F70</f>
        <v>144000000</v>
      </c>
      <c r="I70" s="1">
        <v>15000000</v>
      </c>
    </row>
    <row r="71" spans="3:11" x14ac:dyDescent="0.25">
      <c r="C71" s="1" t="s">
        <v>472</v>
      </c>
      <c r="D71" s="1">
        <v>20000000</v>
      </c>
      <c r="E71" s="1">
        <v>12</v>
      </c>
      <c r="F71" s="1">
        <f>E71*D71</f>
        <v>240000000</v>
      </c>
      <c r="I71" s="1">
        <f>SUM(I67:I70)</f>
        <v>108600000</v>
      </c>
    </row>
    <row r="72" spans="3:11" x14ac:dyDescent="0.25">
      <c r="D72" s="1">
        <v>60000000</v>
      </c>
      <c r="E72" s="1">
        <v>12</v>
      </c>
      <c r="F72" s="1">
        <f>E72*D72</f>
        <v>720000000</v>
      </c>
      <c r="G72" s="1">
        <f>G70+F71</f>
        <v>384000000</v>
      </c>
    </row>
    <row r="73" spans="3:11" x14ac:dyDescent="0.25">
      <c r="K73" s="1">
        <f>F70-G70</f>
        <v>336000000</v>
      </c>
    </row>
    <row r="76" spans="3:11" x14ac:dyDescent="0.25">
      <c r="G76" s="1">
        <f>0.3*F70</f>
        <v>144000000</v>
      </c>
      <c r="I76" s="1">
        <f>F70-G76</f>
        <v>336000000</v>
      </c>
    </row>
    <row r="77" spans="3:11" x14ac:dyDescent="0.25">
      <c r="G77" s="1">
        <f>G76+F71</f>
        <v>384000000</v>
      </c>
    </row>
    <row r="81" spans="7:7" x14ac:dyDescent="0.25">
      <c r="G81" s="1">
        <f>720000000+360000000</f>
        <v>1080000000</v>
      </c>
    </row>
  </sheetData>
  <mergeCells count="18">
    <mergeCell ref="B55:E55"/>
    <mergeCell ref="B9:L9"/>
    <mergeCell ref="B13:L13"/>
    <mergeCell ref="B40:E40"/>
    <mergeCell ref="B11:B12"/>
    <mergeCell ref="C11:C12"/>
    <mergeCell ref="D11:D12"/>
    <mergeCell ref="E11:E12"/>
    <mergeCell ref="F11:F12"/>
    <mergeCell ref="G11:G12"/>
    <mergeCell ref="H11:H12"/>
    <mergeCell ref="I11:L11"/>
    <mergeCell ref="B41:L41"/>
    <mergeCell ref="B2:L2"/>
    <mergeCell ref="N45:N47"/>
    <mergeCell ref="B42:L42"/>
    <mergeCell ref="B43:K43"/>
    <mergeCell ref="B54:E54"/>
  </mergeCells>
  <pageMargins left="0.2" right="0" top="0.8" bottom="0.8" header="0.3" footer="0.3"/>
  <pageSetup paperSize="1000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S177"/>
  <sheetViews>
    <sheetView topLeftCell="E1" zoomScale="80" zoomScaleNormal="80" workbookViewId="0">
      <selection activeCell="N48" sqref="N48"/>
    </sheetView>
  </sheetViews>
  <sheetFormatPr defaultRowHeight="15" x14ac:dyDescent="0.25"/>
  <cols>
    <col min="1" max="1" width="9.140625" style="1"/>
    <col min="2" max="2" width="4.85546875" style="1" customWidth="1"/>
    <col min="3" max="3" width="23" style="74" customWidth="1"/>
    <col min="4" max="4" width="29.140625" style="1" customWidth="1"/>
    <col min="5" max="5" width="22.42578125" style="1" customWidth="1"/>
    <col min="6" max="6" width="13.85546875" style="1" customWidth="1"/>
    <col min="7" max="7" width="12.7109375" style="1" customWidth="1"/>
    <col min="8" max="8" width="17.28515625" style="1" customWidth="1"/>
    <col min="9" max="9" width="21.42578125" style="1" customWidth="1"/>
    <col min="10" max="10" width="12.42578125" style="1" customWidth="1"/>
    <col min="11" max="11" width="18.42578125" style="1" customWidth="1"/>
    <col min="12" max="12" width="20.5703125" style="1" customWidth="1"/>
    <col min="13" max="13" width="26" style="1" hidden="1" customWidth="1"/>
    <col min="14" max="14" width="15.7109375" style="1" customWidth="1"/>
    <col min="15" max="15" width="19.42578125" style="1" customWidth="1"/>
    <col min="16" max="16" width="22" style="1" customWidth="1"/>
    <col min="17" max="17" width="9.140625" style="1"/>
    <col min="18" max="18" width="16.5703125" style="1" bestFit="1" customWidth="1"/>
    <col min="19" max="19" width="10" style="1" bestFit="1" customWidth="1"/>
    <col min="20" max="16384" width="9.140625" style="1"/>
  </cols>
  <sheetData>
    <row r="2" spans="2:18" ht="18.75" x14ac:dyDescent="0.3">
      <c r="B2" s="467" t="s">
        <v>441</v>
      </c>
      <c r="C2" s="467"/>
      <c r="D2" s="467"/>
      <c r="E2" s="467"/>
      <c r="F2" s="467"/>
      <c r="G2" s="467"/>
      <c r="H2" s="467"/>
      <c r="I2" s="467"/>
      <c r="J2" s="467"/>
      <c r="K2" s="467"/>
      <c r="L2" s="467"/>
      <c r="M2" s="467"/>
      <c r="N2" s="467"/>
      <c r="O2" s="467"/>
      <c r="P2" s="467"/>
    </row>
    <row r="4" spans="2:18" ht="15.75" x14ac:dyDescent="0.25">
      <c r="B4" s="17"/>
      <c r="C4" s="124" t="s">
        <v>429</v>
      </c>
      <c r="D4" s="125">
        <v>1709949000</v>
      </c>
      <c r="E4" s="125"/>
      <c r="F4" s="125"/>
      <c r="G4" s="124"/>
      <c r="H4" s="129" t="s">
        <v>490</v>
      </c>
      <c r="I4" s="129"/>
      <c r="J4" s="129"/>
      <c r="K4" s="129"/>
      <c r="L4" s="127">
        <f>0.25*$D$4</f>
        <v>427487250</v>
      </c>
      <c r="N4" s="76"/>
      <c r="O4" s="189">
        <v>378590000</v>
      </c>
      <c r="P4" s="190">
        <f>427487250-O4</f>
        <v>48897250</v>
      </c>
      <c r="R4" s="131">
        <f>L4-386240000</f>
        <v>41247250</v>
      </c>
    </row>
    <row r="5" spans="2:18" ht="15.75" x14ac:dyDescent="0.25">
      <c r="C5" s="124"/>
      <c r="D5" s="124"/>
      <c r="E5" s="124"/>
      <c r="F5" s="124"/>
      <c r="G5" s="124"/>
      <c r="H5" s="129" t="s">
        <v>488</v>
      </c>
      <c r="I5" s="129"/>
      <c r="J5" s="129"/>
      <c r="K5" s="129"/>
      <c r="L5" s="127">
        <f>0.45*$D$4</f>
        <v>769477050</v>
      </c>
      <c r="N5" s="76"/>
      <c r="O5" s="131"/>
      <c r="R5" s="73"/>
    </row>
    <row r="6" spans="2:18" ht="15.75" x14ac:dyDescent="0.25">
      <c r="C6" s="129"/>
      <c r="D6" s="127"/>
      <c r="E6" s="127"/>
      <c r="F6" s="127"/>
      <c r="G6" s="141"/>
      <c r="H6" s="129" t="s">
        <v>489</v>
      </c>
      <c r="I6" s="129"/>
      <c r="J6" s="129"/>
      <c r="K6" s="129"/>
      <c r="L6" s="127">
        <f>0.3*$D$4</f>
        <v>512984700</v>
      </c>
      <c r="N6" s="76"/>
    </row>
    <row r="8" spans="2:18" ht="18.75" x14ac:dyDescent="0.3">
      <c r="B8" s="143" t="s">
        <v>474</v>
      </c>
      <c r="C8" s="143"/>
      <c r="D8" s="143"/>
      <c r="E8" s="143"/>
      <c r="F8" s="143"/>
      <c r="G8" s="143"/>
      <c r="H8" s="143"/>
      <c r="I8" s="143"/>
      <c r="J8" s="143"/>
      <c r="K8" s="143"/>
      <c r="L8" s="143"/>
      <c r="M8" s="143"/>
      <c r="N8" s="143"/>
      <c r="O8" s="143"/>
      <c r="P8" s="143"/>
    </row>
    <row r="9" spans="2:18" ht="15.75" thickBot="1" x14ac:dyDescent="0.3">
      <c r="C9" s="1"/>
    </row>
    <row r="10" spans="2:18" ht="15.75" customHeight="1" thickBot="1" x14ac:dyDescent="0.3">
      <c r="B10" s="476" t="s">
        <v>0</v>
      </c>
      <c r="C10" s="476" t="s">
        <v>159</v>
      </c>
      <c r="D10" s="476" t="s">
        <v>160</v>
      </c>
      <c r="E10" s="194"/>
      <c r="F10" s="194"/>
      <c r="G10" s="476" t="s">
        <v>161</v>
      </c>
      <c r="H10" s="506" t="s">
        <v>162</v>
      </c>
      <c r="I10" s="173" t="s">
        <v>554</v>
      </c>
      <c r="J10" s="201"/>
      <c r="K10" s="176"/>
      <c r="L10" s="520" t="s">
        <v>163</v>
      </c>
      <c r="M10" s="476" t="s">
        <v>164</v>
      </c>
      <c r="N10" s="145" t="s">
        <v>484</v>
      </c>
      <c r="O10" s="144"/>
      <c r="P10" s="144"/>
      <c r="Q10" s="167"/>
    </row>
    <row r="11" spans="2:18" ht="15.75" thickBot="1" x14ac:dyDescent="0.3">
      <c r="B11" s="477"/>
      <c r="C11" s="477"/>
      <c r="D11" s="477"/>
      <c r="E11" s="195"/>
      <c r="F11" s="195"/>
      <c r="G11" s="477"/>
      <c r="H11" s="507"/>
      <c r="I11" s="174"/>
      <c r="J11" s="202"/>
      <c r="K11" s="177"/>
      <c r="L11" s="521"/>
      <c r="M11" s="477"/>
      <c r="N11" s="151" t="s">
        <v>485</v>
      </c>
      <c r="O11" s="152" t="s">
        <v>486</v>
      </c>
      <c r="P11" s="153" t="s">
        <v>487</v>
      </c>
    </row>
    <row r="12" spans="2:18" ht="16.5" thickBot="1" x14ac:dyDescent="0.3">
      <c r="B12" s="43" t="s">
        <v>165</v>
      </c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167"/>
    </row>
    <row r="13" spans="2:18" ht="15.75" x14ac:dyDescent="0.25">
      <c r="B13" s="64"/>
      <c r="C13" s="64"/>
      <c r="D13" s="64"/>
      <c r="E13" s="64"/>
      <c r="F13" s="64"/>
      <c r="G13" s="64"/>
      <c r="H13" s="64"/>
      <c r="I13" s="64"/>
      <c r="J13" s="64"/>
      <c r="K13" s="64"/>
      <c r="L13" s="64"/>
      <c r="M13" s="64"/>
      <c r="N13" s="65"/>
      <c r="O13" s="65"/>
      <c r="P13" s="65"/>
    </row>
    <row r="14" spans="2:18" ht="15" customHeight="1" x14ac:dyDescent="0.25">
      <c r="B14" s="4">
        <v>1</v>
      </c>
      <c r="C14" s="66" t="s">
        <v>96</v>
      </c>
      <c r="D14" s="66" t="s">
        <v>491</v>
      </c>
      <c r="E14" s="66" t="s">
        <v>542</v>
      </c>
      <c r="F14" s="66" t="s">
        <v>540</v>
      </c>
      <c r="G14" s="4" t="s">
        <v>451</v>
      </c>
      <c r="H14" s="5">
        <v>70000000</v>
      </c>
      <c r="I14" s="147" t="s">
        <v>503</v>
      </c>
      <c r="J14" s="213">
        <v>43293</v>
      </c>
      <c r="K14" s="147">
        <v>69000000</v>
      </c>
      <c r="L14" s="147">
        <v>69000000</v>
      </c>
      <c r="M14" s="66" t="s">
        <v>419</v>
      </c>
      <c r="N14" s="5">
        <f>H14</f>
        <v>70000000</v>
      </c>
      <c r="O14" s="5"/>
      <c r="P14" s="5"/>
    </row>
    <row r="15" spans="2:18" x14ac:dyDescent="0.25">
      <c r="B15" s="6"/>
      <c r="C15" s="38"/>
      <c r="D15" s="38" t="s">
        <v>559</v>
      </c>
      <c r="E15" s="211">
        <v>43188</v>
      </c>
      <c r="F15" s="38"/>
      <c r="G15" s="6"/>
      <c r="H15" s="7"/>
      <c r="I15" s="7"/>
      <c r="J15" s="7"/>
      <c r="K15" s="7"/>
      <c r="L15" s="7"/>
      <c r="M15" s="67"/>
      <c r="N15" s="5"/>
      <c r="O15" s="5"/>
      <c r="P15" s="5"/>
    </row>
    <row r="16" spans="2:18" x14ac:dyDescent="0.25">
      <c r="B16" s="6">
        <v>2</v>
      </c>
      <c r="C16" s="66" t="s">
        <v>96</v>
      </c>
      <c r="D16" s="66" t="s">
        <v>492</v>
      </c>
      <c r="E16" s="66" t="s">
        <v>542</v>
      </c>
      <c r="F16" s="66" t="s">
        <v>540</v>
      </c>
      <c r="G16" s="4" t="s">
        <v>451</v>
      </c>
      <c r="H16" s="7">
        <v>70000000</v>
      </c>
      <c r="I16" s="148" t="s">
        <v>505</v>
      </c>
      <c r="J16" s="212">
        <v>43299</v>
      </c>
      <c r="K16" s="148">
        <v>69620000</v>
      </c>
      <c r="L16" s="148">
        <v>69620000</v>
      </c>
      <c r="M16" s="38" t="s">
        <v>462</v>
      </c>
      <c r="N16" s="5">
        <f>H16</f>
        <v>70000000</v>
      </c>
      <c r="O16" s="5"/>
      <c r="P16" s="5"/>
    </row>
    <row r="17" spans="2:18" x14ac:dyDescent="0.25">
      <c r="B17" s="6"/>
      <c r="C17" s="38"/>
      <c r="D17" s="38" t="s">
        <v>563</v>
      </c>
      <c r="E17" s="211">
        <v>43188</v>
      </c>
      <c r="F17" s="38"/>
      <c r="G17" s="6"/>
      <c r="H17" s="7"/>
      <c r="I17" s="7"/>
      <c r="J17" s="7"/>
      <c r="K17" s="7"/>
      <c r="L17" s="7"/>
      <c r="M17" s="67"/>
      <c r="N17" s="5"/>
      <c r="O17" s="5"/>
      <c r="P17" s="5"/>
    </row>
    <row r="18" spans="2:18" x14ac:dyDescent="0.25">
      <c r="B18" s="6">
        <v>3</v>
      </c>
      <c r="C18" s="66" t="s">
        <v>96</v>
      </c>
      <c r="D18" s="66" t="s">
        <v>493</v>
      </c>
      <c r="E18" s="66" t="s">
        <v>542</v>
      </c>
      <c r="F18" s="66" t="s">
        <v>540</v>
      </c>
      <c r="G18" s="4" t="s">
        <v>451</v>
      </c>
      <c r="H18" s="7">
        <v>70000000</v>
      </c>
      <c r="I18" s="148" t="s">
        <v>504</v>
      </c>
      <c r="J18" s="212">
        <v>43298</v>
      </c>
      <c r="K18" s="148">
        <v>69653000</v>
      </c>
      <c r="L18" s="148">
        <v>69653000</v>
      </c>
      <c r="M18" s="67" t="s">
        <v>101</v>
      </c>
      <c r="N18" s="5">
        <f>H18</f>
        <v>70000000</v>
      </c>
      <c r="O18" s="5"/>
      <c r="P18" s="5"/>
    </row>
    <row r="19" spans="2:18" x14ac:dyDescent="0.25">
      <c r="B19" s="6"/>
      <c r="C19" s="38"/>
      <c r="D19" s="38" t="s">
        <v>558</v>
      </c>
      <c r="E19" s="211">
        <v>43188</v>
      </c>
      <c r="F19" s="38"/>
      <c r="G19" s="6"/>
      <c r="H19" s="7"/>
      <c r="I19" s="7"/>
      <c r="J19" s="7"/>
      <c r="K19" s="7"/>
      <c r="L19" s="7"/>
      <c r="M19" s="67"/>
      <c r="N19" s="5"/>
      <c r="O19" s="5"/>
      <c r="P19" s="5"/>
    </row>
    <row r="20" spans="2:18" x14ac:dyDescent="0.25">
      <c r="B20" s="6">
        <v>4</v>
      </c>
      <c r="C20" s="66" t="s">
        <v>96</v>
      </c>
      <c r="D20" s="66" t="s">
        <v>495</v>
      </c>
      <c r="E20" s="66" t="s">
        <v>542</v>
      </c>
      <c r="F20" s="66" t="s">
        <v>540</v>
      </c>
      <c r="G20" s="4" t="s">
        <v>451</v>
      </c>
      <c r="H20" s="7">
        <v>70000000</v>
      </c>
      <c r="I20" s="148" t="s">
        <v>506</v>
      </c>
      <c r="J20" s="212">
        <v>43305</v>
      </c>
      <c r="K20" s="148">
        <v>69500000</v>
      </c>
      <c r="L20" s="148">
        <v>69500000</v>
      </c>
      <c r="M20" s="66" t="s">
        <v>419</v>
      </c>
      <c r="N20" s="5">
        <v>70000000</v>
      </c>
      <c r="O20" s="5"/>
      <c r="P20" s="5"/>
    </row>
    <row r="21" spans="2:18" x14ac:dyDescent="0.25">
      <c r="B21" s="6"/>
      <c r="C21" s="38"/>
      <c r="D21" s="38" t="s">
        <v>560</v>
      </c>
      <c r="E21" s="211">
        <v>43188</v>
      </c>
      <c r="F21" s="38"/>
      <c r="G21" s="6"/>
      <c r="H21" s="7"/>
      <c r="I21" s="7"/>
      <c r="J21" s="7"/>
      <c r="K21" s="7"/>
      <c r="L21" s="7"/>
      <c r="M21" s="67"/>
      <c r="N21" s="5"/>
      <c r="O21" s="5"/>
      <c r="P21" s="5"/>
    </row>
    <row r="22" spans="2:18" x14ac:dyDescent="0.25">
      <c r="B22" s="6">
        <v>5</v>
      </c>
      <c r="C22" s="38" t="s">
        <v>421</v>
      </c>
      <c r="D22" s="38" t="s">
        <v>492</v>
      </c>
      <c r="E22" s="66" t="s">
        <v>542</v>
      </c>
      <c r="F22" s="66" t="s">
        <v>540</v>
      </c>
      <c r="G22" s="6" t="s">
        <v>452</v>
      </c>
      <c r="H22" s="7">
        <v>80000000</v>
      </c>
      <c r="I22" s="148" t="s">
        <v>507</v>
      </c>
      <c r="J22" s="212">
        <v>43305</v>
      </c>
      <c r="K22" s="148">
        <v>79500000</v>
      </c>
      <c r="L22" s="148">
        <v>79500000</v>
      </c>
      <c r="M22" s="38" t="s">
        <v>419</v>
      </c>
      <c r="N22" s="5">
        <f>H22</f>
        <v>80000000</v>
      </c>
      <c r="O22" s="5"/>
      <c r="P22" s="5"/>
    </row>
    <row r="23" spans="2:18" x14ac:dyDescent="0.25">
      <c r="B23" s="6"/>
      <c r="C23" s="38"/>
      <c r="D23" s="38" t="s">
        <v>561</v>
      </c>
      <c r="E23" s="211">
        <v>43178</v>
      </c>
      <c r="F23" s="38"/>
      <c r="G23" s="6"/>
      <c r="H23" s="7"/>
      <c r="I23" s="7"/>
      <c r="J23" s="7"/>
      <c r="K23" s="7"/>
      <c r="L23" s="7"/>
      <c r="M23" s="67"/>
      <c r="N23" s="7"/>
      <c r="O23" s="5"/>
      <c r="P23" s="5"/>
    </row>
    <row r="24" spans="2:18" x14ac:dyDescent="0.25">
      <c r="B24" s="6">
        <v>6</v>
      </c>
      <c r="C24" s="38" t="s">
        <v>103</v>
      </c>
      <c r="D24" s="38" t="s">
        <v>498</v>
      </c>
      <c r="E24" s="66" t="s">
        <v>542</v>
      </c>
      <c r="F24" s="66" t="s">
        <v>540</v>
      </c>
      <c r="G24" s="6" t="s">
        <v>453</v>
      </c>
      <c r="H24" s="7">
        <v>56000000</v>
      </c>
      <c r="I24" s="150" t="s">
        <v>550</v>
      </c>
      <c r="J24" s="204">
        <v>43403</v>
      </c>
      <c r="K24" s="150">
        <v>55557700</v>
      </c>
      <c r="L24" s="150">
        <v>55557700</v>
      </c>
      <c r="M24" s="106" t="s">
        <v>463</v>
      </c>
      <c r="O24" s="5"/>
      <c r="P24" s="7">
        <f>H24</f>
        <v>56000000</v>
      </c>
    </row>
    <row r="25" spans="2:18" x14ac:dyDescent="0.25">
      <c r="B25" s="6"/>
      <c r="C25" s="38"/>
      <c r="D25" s="38" t="s">
        <v>565</v>
      </c>
      <c r="E25" s="211">
        <v>43188</v>
      </c>
      <c r="F25" s="38"/>
      <c r="G25" s="6"/>
      <c r="H25" s="7"/>
      <c r="I25" s="7"/>
      <c r="J25" s="7"/>
      <c r="K25" s="7"/>
      <c r="L25" s="7"/>
      <c r="M25" s="122"/>
      <c r="N25" s="5"/>
      <c r="O25" s="5"/>
      <c r="P25" s="5"/>
    </row>
    <row r="26" spans="2:18" x14ac:dyDescent="0.25">
      <c r="B26" s="6">
        <v>7</v>
      </c>
      <c r="C26" s="38" t="s">
        <v>106</v>
      </c>
      <c r="D26" s="38" t="s">
        <v>501</v>
      </c>
      <c r="E26" s="66" t="s">
        <v>542</v>
      </c>
      <c r="F26" s="66" t="s">
        <v>540</v>
      </c>
      <c r="G26" s="6" t="s">
        <v>453</v>
      </c>
      <c r="H26" s="7">
        <v>51400000</v>
      </c>
      <c r="I26" s="150" t="s">
        <v>555</v>
      </c>
      <c r="J26" s="204">
        <v>43409</v>
      </c>
      <c r="K26" s="150">
        <v>51000000</v>
      </c>
      <c r="L26" s="150">
        <v>51000000</v>
      </c>
      <c r="M26" s="106"/>
      <c r="N26" s="5"/>
      <c r="P26" s="5">
        <f>H26</f>
        <v>51400000</v>
      </c>
    </row>
    <row r="27" spans="2:18" x14ac:dyDescent="0.25">
      <c r="B27" s="40"/>
      <c r="C27" s="41"/>
      <c r="D27" s="41" t="s">
        <v>556</v>
      </c>
      <c r="E27" s="208">
        <v>43301</v>
      </c>
      <c r="F27" s="41"/>
      <c r="G27" s="40"/>
      <c r="H27" s="39"/>
      <c r="I27" s="39"/>
      <c r="J27" s="39"/>
      <c r="K27" s="39"/>
      <c r="L27" s="39"/>
      <c r="M27" s="106"/>
      <c r="N27" s="5"/>
      <c r="O27" s="5"/>
      <c r="P27" s="5"/>
    </row>
    <row r="28" spans="2:18" x14ac:dyDescent="0.25">
      <c r="B28" s="40">
        <v>8</v>
      </c>
      <c r="C28" s="41" t="s">
        <v>454</v>
      </c>
      <c r="D28" s="41" t="s">
        <v>502</v>
      </c>
      <c r="E28" s="66" t="s">
        <v>542</v>
      </c>
      <c r="F28" s="66" t="s">
        <v>540</v>
      </c>
      <c r="G28" s="40" t="s">
        <v>453</v>
      </c>
      <c r="H28" s="39">
        <v>96600000</v>
      </c>
      <c r="I28" s="150" t="s">
        <v>549</v>
      </c>
      <c r="J28" s="204">
        <v>43377</v>
      </c>
      <c r="K28" s="150">
        <v>93178000</v>
      </c>
      <c r="L28" s="150">
        <v>93178000</v>
      </c>
      <c r="M28" s="106"/>
      <c r="N28" s="5"/>
      <c r="P28" s="5">
        <f>H28</f>
        <v>96600000</v>
      </c>
    </row>
    <row r="29" spans="2:18" x14ac:dyDescent="0.25">
      <c r="B29" s="40"/>
      <c r="C29" s="41" t="s">
        <v>455</v>
      </c>
      <c r="D29" s="41" t="s">
        <v>567</v>
      </c>
      <c r="E29" s="209">
        <v>43301</v>
      </c>
      <c r="F29" s="41"/>
      <c r="G29" s="200">
        <v>43377</v>
      </c>
      <c r="H29" s="39"/>
      <c r="I29" s="39"/>
      <c r="J29" s="39"/>
      <c r="K29" s="39"/>
      <c r="L29" s="39"/>
      <c r="M29" s="106"/>
      <c r="N29" s="5"/>
      <c r="O29" s="5"/>
      <c r="P29" s="5"/>
    </row>
    <row r="30" spans="2:18" x14ac:dyDescent="0.25">
      <c r="B30" s="40"/>
      <c r="C30" s="41"/>
      <c r="D30" s="41"/>
      <c r="E30" s="41"/>
      <c r="F30" s="41"/>
      <c r="G30" s="40"/>
      <c r="H30" s="39"/>
      <c r="I30" s="39"/>
      <c r="J30" s="39"/>
      <c r="K30" s="39"/>
      <c r="L30" s="39"/>
      <c r="M30" s="68"/>
      <c r="N30" s="5"/>
      <c r="O30" s="5"/>
      <c r="P30" s="5"/>
    </row>
    <row r="31" spans="2:18" ht="15" customHeight="1" x14ac:dyDescent="0.25">
      <c r="B31" s="40">
        <v>9</v>
      </c>
      <c r="C31" s="41" t="s">
        <v>107</v>
      </c>
      <c r="D31" s="41" t="s">
        <v>494</v>
      </c>
      <c r="E31" s="66" t="s">
        <v>542</v>
      </c>
      <c r="F31" s="41" t="s">
        <v>541</v>
      </c>
      <c r="G31" s="40" t="s">
        <v>460</v>
      </c>
      <c r="H31" s="39">
        <v>10600000</v>
      </c>
      <c r="I31" s="146" t="s">
        <v>508</v>
      </c>
      <c r="J31" s="210">
        <v>43297</v>
      </c>
      <c r="K31" s="146">
        <v>10400000</v>
      </c>
      <c r="L31" s="146">
        <v>10400000</v>
      </c>
      <c r="M31" s="68" t="s">
        <v>108</v>
      </c>
      <c r="N31" s="5">
        <f>H31</f>
        <v>10600000</v>
      </c>
      <c r="O31" s="5"/>
      <c r="P31" s="5"/>
      <c r="R31" s="1" t="s">
        <v>461</v>
      </c>
    </row>
    <row r="32" spans="2:18" x14ac:dyDescent="0.25">
      <c r="B32" s="40"/>
      <c r="C32" s="41" t="s">
        <v>457</v>
      </c>
      <c r="D32" s="41" t="s">
        <v>557</v>
      </c>
      <c r="E32" s="209">
        <v>43157</v>
      </c>
      <c r="F32" s="41"/>
      <c r="G32" s="40"/>
      <c r="H32" s="39"/>
      <c r="I32" s="39"/>
      <c r="J32" s="39"/>
      <c r="K32" s="39"/>
      <c r="L32" s="39"/>
      <c r="M32" s="68"/>
      <c r="N32" s="5"/>
      <c r="O32" s="5"/>
      <c r="P32" s="5"/>
    </row>
    <row r="33" spans="1:18" x14ac:dyDescent="0.25">
      <c r="B33" s="40"/>
      <c r="C33" s="41"/>
      <c r="D33" s="41"/>
      <c r="E33" s="41"/>
      <c r="F33" s="41"/>
      <c r="G33" s="40"/>
      <c r="H33" s="39"/>
      <c r="I33" s="39"/>
      <c r="J33" s="39"/>
      <c r="K33" s="39"/>
      <c r="L33" s="39"/>
      <c r="M33" s="68"/>
      <c r="N33" s="5"/>
      <c r="O33" s="5"/>
      <c r="P33" s="5"/>
    </row>
    <row r="34" spans="1:18" ht="15" customHeight="1" x14ac:dyDescent="0.25">
      <c r="B34" s="40">
        <v>10</v>
      </c>
      <c r="C34" s="41" t="s">
        <v>109</v>
      </c>
      <c r="D34" s="41" t="s">
        <v>494</v>
      </c>
      <c r="E34" s="66" t="s">
        <v>542</v>
      </c>
      <c r="F34" s="41" t="s">
        <v>541</v>
      </c>
      <c r="G34" s="40" t="s">
        <v>460</v>
      </c>
      <c r="H34" s="39">
        <v>6475000</v>
      </c>
      <c r="I34" s="150" t="s">
        <v>530</v>
      </c>
      <c r="J34" s="204">
        <v>43327</v>
      </c>
      <c r="K34" s="150">
        <v>6400000</v>
      </c>
      <c r="L34" s="150">
        <v>6400000</v>
      </c>
      <c r="M34" s="68"/>
      <c r="N34" s="5"/>
      <c r="O34" s="5">
        <f>H34</f>
        <v>6475000</v>
      </c>
      <c r="P34" s="5"/>
    </row>
    <row r="35" spans="1:18" x14ac:dyDescent="0.25">
      <c r="B35" s="40"/>
      <c r="C35" s="41" t="s">
        <v>457</v>
      </c>
      <c r="D35" s="41" t="s">
        <v>564</v>
      </c>
      <c r="E35" s="209">
        <v>43188</v>
      </c>
      <c r="F35" s="41"/>
      <c r="G35" s="40"/>
      <c r="H35" s="39"/>
      <c r="I35" s="39"/>
      <c r="J35" s="39"/>
      <c r="K35" s="39"/>
      <c r="L35" s="39"/>
      <c r="M35" s="68"/>
      <c r="N35" s="5"/>
      <c r="O35" s="5"/>
      <c r="P35" s="5"/>
    </row>
    <row r="36" spans="1:18" x14ac:dyDescent="0.25">
      <c r="B36" s="40"/>
      <c r="C36" s="41"/>
      <c r="D36" s="41"/>
      <c r="E36" s="41"/>
      <c r="F36" s="41"/>
      <c r="G36" s="40"/>
      <c r="H36" s="39"/>
      <c r="I36" s="39"/>
      <c r="J36" s="39"/>
      <c r="K36" s="39"/>
      <c r="L36" s="39"/>
      <c r="M36" s="68"/>
      <c r="N36" s="5"/>
      <c r="O36" s="5"/>
      <c r="P36" s="5"/>
    </row>
    <row r="37" spans="1:18" ht="15" customHeight="1" x14ac:dyDescent="0.25">
      <c r="A37" s="1" t="s">
        <v>456</v>
      </c>
      <c r="B37" s="40">
        <v>11</v>
      </c>
      <c r="C37" s="41" t="s">
        <v>442</v>
      </c>
      <c r="D37" s="41"/>
      <c r="E37" s="41" t="s">
        <v>543</v>
      </c>
      <c r="F37" s="41" t="s">
        <v>541</v>
      </c>
      <c r="G37" s="40" t="s">
        <v>166</v>
      </c>
      <c r="H37" s="39">
        <v>16925000</v>
      </c>
      <c r="I37" s="39"/>
      <c r="J37" s="39"/>
      <c r="K37" s="39"/>
      <c r="L37" s="146">
        <v>825000</v>
      </c>
      <c r="M37" s="68"/>
      <c r="N37" s="5">
        <v>4000000</v>
      </c>
      <c r="O37" s="5">
        <v>4000000</v>
      </c>
      <c r="P37" s="5">
        <v>8925000</v>
      </c>
    </row>
    <row r="38" spans="1:18" ht="15" customHeight="1" x14ac:dyDescent="0.25">
      <c r="B38" s="40"/>
      <c r="C38" s="41"/>
      <c r="D38" s="41"/>
      <c r="E38" s="41"/>
      <c r="F38" s="41"/>
      <c r="G38" s="40"/>
      <c r="H38" s="39"/>
      <c r="I38" s="39"/>
      <c r="J38" s="39"/>
      <c r="K38" s="39"/>
      <c r="L38" s="146">
        <v>825000</v>
      </c>
      <c r="M38" s="68"/>
      <c r="N38" s="47"/>
      <c r="O38" s="47"/>
      <c r="P38" s="47"/>
    </row>
    <row r="39" spans="1:18" ht="15" customHeight="1" x14ac:dyDescent="0.25">
      <c r="B39" s="40"/>
      <c r="C39" s="41"/>
      <c r="D39" s="41"/>
      <c r="E39" s="41"/>
      <c r="F39" s="41"/>
      <c r="G39" s="40"/>
      <c r="H39" s="39"/>
      <c r="I39" s="39"/>
      <c r="J39" s="39"/>
      <c r="K39" s="39"/>
      <c r="L39" s="146">
        <v>825000</v>
      </c>
      <c r="M39" s="68"/>
      <c r="N39" s="47"/>
      <c r="O39" s="47"/>
      <c r="P39" s="47"/>
    </row>
    <row r="40" spans="1:18" ht="15" customHeight="1" x14ac:dyDescent="0.25">
      <c r="B40" s="40"/>
      <c r="C40" s="41"/>
      <c r="D40" s="41"/>
      <c r="E40" s="41"/>
      <c r="F40" s="41"/>
      <c r="G40" s="40"/>
      <c r="H40" s="39"/>
      <c r="I40" s="39"/>
      <c r="J40" s="39"/>
      <c r="K40" s="39"/>
      <c r="L40" s="146">
        <v>825000</v>
      </c>
      <c r="M40" s="68"/>
      <c r="N40" s="47"/>
      <c r="O40" s="47"/>
      <c r="P40" s="47"/>
      <c r="R40" s="73">
        <f>720000000-L59</f>
        <v>198794040</v>
      </c>
    </row>
    <row r="41" spans="1:18" ht="15" customHeight="1" x14ac:dyDescent="0.25">
      <c r="B41" s="40"/>
      <c r="C41" s="41"/>
      <c r="D41" s="41"/>
      <c r="E41" s="41"/>
      <c r="F41" s="41"/>
      <c r="G41" s="40"/>
      <c r="H41" s="39"/>
      <c r="I41" s="39"/>
      <c r="J41" s="39"/>
      <c r="K41" s="39"/>
      <c r="L41" s="39"/>
      <c r="M41" s="68"/>
      <c r="N41" s="47"/>
      <c r="O41" s="47"/>
      <c r="P41" s="47"/>
    </row>
    <row r="42" spans="1:18" ht="15" customHeight="1" x14ac:dyDescent="0.25">
      <c r="B42" s="40"/>
      <c r="C42" s="41"/>
      <c r="D42" s="41"/>
      <c r="E42" s="41"/>
      <c r="F42" s="41"/>
      <c r="G42" s="40"/>
      <c r="H42" s="39"/>
      <c r="I42" s="39"/>
      <c r="J42" s="39"/>
      <c r="K42" s="39"/>
      <c r="L42" s="150">
        <v>825000</v>
      </c>
      <c r="M42" s="68"/>
      <c r="N42" s="47"/>
      <c r="O42" s="47"/>
      <c r="P42" s="47"/>
    </row>
    <row r="43" spans="1:18" ht="15" customHeight="1" x14ac:dyDescent="0.25">
      <c r="B43" s="166"/>
      <c r="C43" s="182"/>
      <c r="D43" s="180"/>
      <c r="E43" s="196"/>
      <c r="F43" s="196"/>
      <c r="G43" s="183"/>
      <c r="H43" s="39"/>
      <c r="I43" s="39"/>
      <c r="J43" s="39"/>
      <c r="K43" s="39"/>
      <c r="L43" s="39"/>
      <c r="M43" s="68"/>
      <c r="N43" s="47"/>
      <c r="O43" s="47"/>
      <c r="P43" s="47"/>
    </row>
    <row r="44" spans="1:18" ht="15.75" thickBot="1" x14ac:dyDescent="0.3">
      <c r="B44" s="166"/>
      <c r="C44" s="180"/>
      <c r="D44" s="180"/>
      <c r="E44" s="196"/>
      <c r="F44" s="196"/>
      <c r="G44" s="183"/>
      <c r="H44" s="39"/>
      <c r="I44" s="150" t="s">
        <v>526</v>
      </c>
      <c r="J44" s="150"/>
      <c r="K44" s="150">
        <v>850000</v>
      </c>
      <c r="L44" s="525">
        <v>12800000</v>
      </c>
      <c r="M44" s="68"/>
      <c r="N44" s="42"/>
      <c r="O44" s="42"/>
      <c r="P44" s="42"/>
    </row>
    <row r="45" spans="1:18" ht="15.75" thickBot="1" x14ac:dyDescent="0.3">
      <c r="B45" s="154"/>
      <c r="C45" s="157"/>
      <c r="D45" s="157"/>
      <c r="E45" s="197"/>
      <c r="F45" s="197"/>
      <c r="G45" s="155"/>
      <c r="H45" s="47"/>
      <c r="I45" s="150" t="s">
        <v>525</v>
      </c>
      <c r="J45" s="150"/>
      <c r="K45" s="150">
        <v>850000</v>
      </c>
      <c r="L45" s="526"/>
      <c r="M45" s="23"/>
      <c r="N45" s="156"/>
      <c r="O45" s="156"/>
      <c r="P45" s="156"/>
    </row>
    <row r="46" spans="1:18" ht="15.75" thickBot="1" x14ac:dyDescent="0.3">
      <c r="B46" s="154"/>
      <c r="C46" s="157"/>
      <c r="D46" s="157"/>
      <c r="E46" s="197"/>
      <c r="F46" s="197"/>
      <c r="G46" s="155"/>
      <c r="H46" s="47"/>
      <c r="I46" s="150" t="s">
        <v>527</v>
      </c>
      <c r="J46" s="150"/>
      <c r="K46" s="150">
        <v>850000</v>
      </c>
      <c r="L46" s="526"/>
      <c r="M46" s="23"/>
      <c r="N46" s="156"/>
      <c r="O46" s="156"/>
      <c r="P46" s="156"/>
    </row>
    <row r="47" spans="1:18" ht="15.75" thickBot="1" x14ac:dyDescent="0.3">
      <c r="B47" s="154"/>
      <c r="C47" s="157"/>
      <c r="D47" s="157"/>
      <c r="E47" s="197"/>
      <c r="F47" s="197"/>
      <c r="G47" s="155"/>
      <c r="H47" s="47"/>
      <c r="I47" s="150" t="s">
        <v>528</v>
      </c>
      <c r="J47" s="150"/>
      <c r="K47" s="150">
        <v>850000</v>
      </c>
      <c r="L47" s="526"/>
      <c r="M47" s="23"/>
      <c r="N47" s="156"/>
      <c r="O47" s="156"/>
      <c r="P47" s="156"/>
    </row>
    <row r="48" spans="1:18" ht="15.75" thickBot="1" x14ac:dyDescent="0.3">
      <c r="B48" s="154"/>
      <c r="C48" s="157"/>
      <c r="D48" s="157"/>
      <c r="E48" s="197"/>
      <c r="F48" s="197"/>
      <c r="G48" s="155"/>
      <c r="H48" s="47"/>
      <c r="I48" s="150" t="s">
        <v>529</v>
      </c>
      <c r="J48" s="150"/>
      <c r="K48" s="150">
        <v>850000</v>
      </c>
      <c r="L48" s="526"/>
      <c r="M48" s="23"/>
      <c r="N48" s="156"/>
      <c r="O48" s="156"/>
      <c r="P48" s="156"/>
    </row>
    <row r="49" spans="2:18" ht="15.75" thickBot="1" x14ac:dyDescent="0.3">
      <c r="B49" s="154"/>
      <c r="C49" s="157"/>
      <c r="D49" s="157"/>
      <c r="E49" s="197"/>
      <c r="F49" s="197"/>
      <c r="G49" s="155"/>
      <c r="H49" s="47"/>
      <c r="I49" s="179"/>
      <c r="J49" s="179"/>
      <c r="K49" s="179"/>
      <c r="L49" s="526"/>
      <c r="M49" s="23"/>
      <c r="N49" s="156"/>
      <c r="O49" s="156"/>
      <c r="P49" s="156"/>
    </row>
    <row r="50" spans="2:18" ht="15.75" thickBot="1" x14ac:dyDescent="0.3">
      <c r="B50" s="154"/>
      <c r="C50" s="157"/>
      <c r="D50" s="157"/>
      <c r="E50" s="197"/>
      <c r="F50" s="197"/>
      <c r="G50" s="155"/>
      <c r="H50" s="47"/>
      <c r="I50" s="179"/>
      <c r="J50" s="179"/>
      <c r="K50" s="179"/>
      <c r="L50" s="526"/>
      <c r="M50" s="23"/>
      <c r="N50" s="156"/>
      <c r="O50" s="156"/>
      <c r="P50" s="156"/>
    </row>
    <row r="51" spans="2:18" ht="15.75" thickBot="1" x14ac:dyDescent="0.3">
      <c r="B51" s="154"/>
      <c r="C51" s="157"/>
      <c r="D51" s="157"/>
      <c r="E51" s="197"/>
      <c r="F51" s="197"/>
      <c r="G51" s="155"/>
      <c r="H51" s="47"/>
      <c r="I51" s="179"/>
      <c r="J51" s="179"/>
      <c r="K51" s="179"/>
      <c r="L51" s="526"/>
      <c r="M51" s="23"/>
      <c r="N51" s="156"/>
      <c r="O51" s="156"/>
      <c r="P51" s="156"/>
    </row>
    <row r="52" spans="2:18" ht="15.75" thickBot="1" x14ac:dyDescent="0.3">
      <c r="B52" s="154"/>
      <c r="C52" s="157"/>
      <c r="D52" s="157"/>
      <c r="E52" s="197"/>
      <c r="F52" s="197"/>
      <c r="G52" s="155"/>
      <c r="H52" s="47"/>
      <c r="I52" s="47"/>
      <c r="J52" s="47"/>
      <c r="K52" s="47"/>
      <c r="L52" s="47"/>
      <c r="M52" s="23"/>
      <c r="N52" s="156"/>
      <c r="O52" s="156"/>
      <c r="P52" s="156"/>
    </row>
    <row r="53" spans="2:18" ht="15.75" thickBot="1" x14ac:dyDescent="0.3">
      <c r="B53" s="154"/>
      <c r="C53" s="181"/>
      <c r="D53" s="181"/>
      <c r="E53" s="198"/>
      <c r="F53" s="198"/>
      <c r="G53" s="184"/>
      <c r="H53" s="47"/>
      <c r="I53" s="47"/>
      <c r="J53" s="47"/>
      <c r="K53" s="47"/>
      <c r="L53" s="47"/>
      <c r="M53" s="23"/>
      <c r="N53" s="158">
        <f>SUM(L14:L22,L31,N37)</f>
        <v>371673000</v>
      </c>
      <c r="O53" s="164">
        <f>4000000+L34</f>
        <v>10400000</v>
      </c>
      <c r="P53" s="156">
        <f>8925000+L26+L28+L24</f>
        <v>208660700</v>
      </c>
    </row>
    <row r="54" spans="2:18" ht="16.5" thickBot="1" x14ac:dyDescent="0.3">
      <c r="B54" s="516" t="s">
        <v>31</v>
      </c>
      <c r="C54" s="517"/>
      <c r="D54" s="517"/>
      <c r="E54" s="517"/>
      <c r="F54" s="517"/>
      <c r="G54" s="518"/>
      <c r="H54" s="70">
        <f>SUM(H14:H37)</f>
        <v>598000000</v>
      </c>
      <c r="I54" s="70"/>
      <c r="J54" s="70"/>
      <c r="K54" s="70">
        <f>SUM(K14:K53)</f>
        <v>578058700</v>
      </c>
      <c r="L54" s="70">
        <f>SUM(L14:L44)</f>
        <v>590733700</v>
      </c>
      <c r="M54" s="71"/>
      <c r="N54" s="70">
        <f>SUM(N14:N37)</f>
        <v>374600000</v>
      </c>
      <c r="O54" s="70">
        <f>SUM(O14:O37)</f>
        <v>10475000</v>
      </c>
      <c r="P54" s="70">
        <f>SUM(P14:P37)</f>
        <v>212925000</v>
      </c>
    </row>
    <row r="55" spans="2:18" ht="15.75" thickBot="1" x14ac:dyDescent="0.3">
      <c r="B55" s="513"/>
      <c r="C55" s="514"/>
      <c r="D55" s="514"/>
      <c r="E55" s="514"/>
      <c r="F55" s="514"/>
      <c r="G55" s="514"/>
      <c r="H55" s="514"/>
      <c r="I55" s="514"/>
      <c r="J55" s="514"/>
      <c r="K55" s="514"/>
      <c r="L55" s="514"/>
      <c r="M55" s="514"/>
      <c r="N55" s="514"/>
      <c r="O55" s="514"/>
      <c r="P55" s="514"/>
      <c r="R55" s="73"/>
    </row>
    <row r="56" spans="2:18" ht="15.75" thickBot="1" x14ac:dyDescent="0.3">
      <c r="B56" s="513"/>
      <c r="C56" s="514"/>
      <c r="D56" s="514"/>
      <c r="E56" s="514"/>
      <c r="F56" s="514"/>
      <c r="G56" s="514"/>
      <c r="H56" s="514"/>
      <c r="I56" s="514"/>
      <c r="J56" s="514"/>
      <c r="K56" s="514"/>
      <c r="L56" s="514"/>
      <c r="M56" s="514"/>
      <c r="N56" s="514"/>
      <c r="O56" s="514"/>
      <c r="P56" s="514"/>
    </row>
    <row r="57" spans="2:18" ht="16.5" thickBot="1" x14ac:dyDescent="0.3">
      <c r="B57" s="503" t="s">
        <v>439</v>
      </c>
      <c r="C57" s="504"/>
      <c r="D57" s="504"/>
      <c r="E57" s="504"/>
      <c r="F57" s="504"/>
      <c r="G57" s="504"/>
      <c r="H57" s="504"/>
      <c r="I57" s="504"/>
      <c r="J57" s="504"/>
      <c r="K57" s="504"/>
      <c r="L57" s="504"/>
      <c r="M57" s="504"/>
      <c r="N57" s="504"/>
      <c r="O57" s="504"/>
      <c r="P57" s="504"/>
    </row>
    <row r="58" spans="2:18" x14ac:dyDescent="0.25">
      <c r="B58" s="45"/>
      <c r="C58" s="46"/>
      <c r="D58" s="46"/>
      <c r="E58" s="46"/>
      <c r="F58" s="46"/>
      <c r="G58" s="45"/>
      <c r="H58" s="47"/>
      <c r="I58" s="47"/>
      <c r="J58" s="47"/>
      <c r="K58" s="47"/>
      <c r="L58" s="47"/>
      <c r="M58" s="23"/>
      <c r="N58" s="5"/>
      <c r="O58" s="5"/>
      <c r="P58" s="5"/>
      <c r="R58" s="73"/>
    </row>
    <row r="59" spans="2:18" x14ac:dyDescent="0.25">
      <c r="B59" s="40">
        <v>1</v>
      </c>
      <c r="C59" s="41" t="s">
        <v>444</v>
      </c>
      <c r="D59" s="41" t="s">
        <v>499</v>
      </c>
      <c r="E59" s="46" t="s">
        <v>545</v>
      </c>
      <c r="F59" s="66" t="s">
        <v>540</v>
      </c>
      <c r="G59" s="40" t="s">
        <v>449</v>
      </c>
      <c r="H59" s="39">
        <v>720000000</v>
      </c>
      <c r="I59" s="150" t="s">
        <v>552</v>
      </c>
      <c r="J59" s="204">
        <v>43404</v>
      </c>
      <c r="K59" s="150">
        <v>521205960</v>
      </c>
      <c r="L59" s="150">
        <v>521205960</v>
      </c>
      <c r="M59" s="68" t="s">
        <v>470</v>
      </c>
      <c r="N59" s="140"/>
      <c r="O59" s="5">
        <v>720000000</v>
      </c>
      <c r="P59" s="5"/>
      <c r="R59" s="512" t="s">
        <v>475</v>
      </c>
    </row>
    <row r="60" spans="2:18" x14ac:dyDescent="0.25">
      <c r="B60" s="40"/>
      <c r="C60" s="41" t="s">
        <v>445</v>
      </c>
      <c r="D60" s="41" t="s">
        <v>566</v>
      </c>
      <c r="E60" s="209">
        <v>43299</v>
      </c>
      <c r="F60" s="41"/>
      <c r="G60" s="40"/>
      <c r="H60" s="39"/>
      <c r="I60" s="39"/>
      <c r="J60" s="39"/>
      <c r="K60" s="39"/>
      <c r="L60" s="39"/>
      <c r="M60" s="68"/>
      <c r="N60" s="5"/>
      <c r="O60" s="5"/>
      <c r="P60" s="5"/>
      <c r="R60" s="512"/>
    </row>
    <row r="61" spans="2:18" x14ac:dyDescent="0.25">
      <c r="B61" s="40"/>
      <c r="C61" s="41"/>
      <c r="D61" s="41"/>
      <c r="E61" s="41"/>
      <c r="F61" s="41"/>
      <c r="G61" s="40"/>
      <c r="H61" s="39"/>
      <c r="I61" s="39"/>
      <c r="J61" s="39"/>
      <c r="K61" s="39"/>
      <c r="L61" s="39"/>
      <c r="M61" s="68"/>
      <c r="N61" s="5"/>
      <c r="O61" s="5"/>
      <c r="P61" s="5"/>
      <c r="R61" s="512"/>
    </row>
    <row r="62" spans="2:18" x14ac:dyDescent="0.25">
      <c r="B62" s="40">
        <v>2</v>
      </c>
      <c r="C62" s="41" t="s">
        <v>119</v>
      </c>
      <c r="D62" s="41" t="s">
        <v>446</v>
      </c>
      <c r="E62" s="46" t="s">
        <v>545</v>
      </c>
      <c r="F62" s="66" t="s">
        <v>540</v>
      </c>
      <c r="G62" s="40" t="s">
        <v>449</v>
      </c>
      <c r="H62" s="39">
        <v>360000000</v>
      </c>
      <c r="I62" s="39"/>
      <c r="J62" s="39"/>
      <c r="K62" s="39"/>
      <c r="L62" s="170">
        <v>281376000</v>
      </c>
      <c r="M62" s="68" t="s">
        <v>464</v>
      </c>
      <c r="N62" s="5"/>
      <c r="O62" s="5"/>
      <c r="P62" s="5">
        <v>360000000</v>
      </c>
    </row>
    <row r="63" spans="2:18" x14ac:dyDescent="0.25">
      <c r="B63" s="40"/>
      <c r="C63" s="41"/>
      <c r="D63" s="41"/>
      <c r="E63" s="41"/>
      <c r="F63" s="41"/>
      <c r="G63" s="40"/>
      <c r="H63" s="39"/>
      <c r="I63" s="39"/>
      <c r="J63" s="39"/>
      <c r="K63" s="39"/>
      <c r="L63" s="39"/>
      <c r="M63" s="68"/>
      <c r="N63" s="5"/>
      <c r="O63" s="5"/>
      <c r="P63" s="5"/>
      <c r="R63" s="73">
        <f>O59-L59+48000000</f>
        <v>246794040</v>
      </c>
    </row>
    <row r="64" spans="2:18" x14ac:dyDescent="0.25">
      <c r="B64" s="40">
        <v>3</v>
      </c>
      <c r="C64" s="41" t="s">
        <v>443</v>
      </c>
      <c r="D64" s="41" t="s">
        <v>446</v>
      </c>
      <c r="E64" s="41" t="s">
        <v>544</v>
      </c>
      <c r="F64" s="41" t="s">
        <v>541</v>
      </c>
      <c r="G64" s="40" t="s">
        <v>447</v>
      </c>
      <c r="H64" s="39">
        <v>8000000</v>
      </c>
      <c r="I64" s="146" t="s">
        <v>509</v>
      </c>
      <c r="J64" s="210">
        <v>43283</v>
      </c>
      <c r="K64" s="146">
        <v>3992000</v>
      </c>
      <c r="L64" s="146">
        <v>3992000</v>
      </c>
      <c r="M64" s="68"/>
      <c r="N64" s="5">
        <v>4000000</v>
      </c>
      <c r="O64" s="5">
        <v>4000000</v>
      </c>
      <c r="P64" s="5"/>
    </row>
    <row r="65" spans="2:19" x14ac:dyDescent="0.25">
      <c r="B65" s="40"/>
      <c r="C65" s="41"/>
      <c r="D65" s="41" t="s">
        <v>562</v>
      </c>
      <c r="E65" s="209">
        <v>43150</v>
      </c>
      <c r="F65" s="41"/>
      <c r="G65" s="40"/>
      <c r="H65" s="39"/>
      <c r="I65" s="39"/>
      <c r="J65" s="39"/>
      <c r="K65" s="39"/>
      <c r="L65" s="39"/>
      <c r="M65" s="68"/>
      <c r="N65" s="5"/>
      <c r="O65" s="5"/>
      <c r="P65" s="5"/>
    </row>
    <row r="66" spans="2:19" x14ac:dyDescent="0.25">
      <c r="B66" s="40"/>
      <c r="C66" s="41"/>
      <c r="D66" s="41"/>
      <c r="E66" s="41"/>
      <c r="F66" s="41"/>
      <c r="G66" s="40"/>
      <c r="H66" s="39"/>
      <c r="I66" s="150" t="s">
        <v>551</v>
      </c>
      <c r="J66" s="204">
        <v>43391</v>
      </c>
      <c r="K66" s="150">
        <v>4008000</v>
      </c>
      <c r="L66" s="150">
        <v>4008000</v>
      </c>
      <c r="M66" s="68"/>
      <c r="N66" s="5"/>
      <c r="O66" s="5"/>
      <c r="P66" s="5"/>
      <c r="R66" s="1">
        <f>27000000*12</f>
        <v>324000000</v>
      </c>
      <c r="S66" s="1">
        <f>21948000+1500000</f>
        <v>23448000</v>
      </c>
    </row>
    <row r="67" spans="2:19" x14ac:dyDescent="0.25">
      <c r="B67" s="40"/>
      <c r="C67" s="41"/>
      <c r="D67" s="41"/>
      <c r="E67" s="41"/>
      <c r="F67" s="41"/>
      <c r="G67" s="40"/>
      <c r="H67" s="39"/>
      <c r="I67" s="39"/>
      <c r="J67" s="39"/>
      <c r="K67" s="39"/>
      <c r="L67" s="39"/>
      <c r="M67" s="68"/>
      <c r="N67" s="5"/>
      <c r="O67" s="5"/>
      <c r="P67" s="5"/>
    </row>
    <row r="68" spans="2:19" x14ac:dyDescent="0.25">
      <c r="B68" s="40">
        <v>4</v>
      </c>
      <c r="C68" s="41" t="s">
        <v>442</v>
      </c>
      <c r="D68" s="41" t="s">
        <v>448</v>
      </c>
      <c r="E68" s="41" t="s">
        <v>543</v>
      </c>
      <c r="F68" s="41" t="s">
        <v>541</v>
      </c>
      <c r="G68" s="40" t="s">
        <v>166</v>
      </c>
      <c r="H68" s="39">
        <v>23949000</v>
      </c>
      <c r="I68" s="146" t="s">
        <v>510</v>
      </c>
      <c r="J68" s="146"/>
      <c r="K68" s="146">
        <v>650000</v>
      </c>
      <c r="L68" s="146">
        <v>650000</v>
      </c>
      <c r="M68" s="68"/>
      <c r="N68" s="5">
        <v>4000000</v>
      </c>
      <c r="O68" s="5">
        <v>16949000</v>
      </c>
      <c r="P68" s="5">
        <v>3000000</v>
      </c>
      <c r="R68" s="175">
        <f>L62/R66*100</f>
        <v>86.844444444444449</v>
      </c>
    </row>
    <row r="69" spans="2:19" x14ac:dyDescent="0.25">
      <c r="B69" s="40"/>
      <c r="C69" s="41"/>
      <c r="D69" s="41"/>
      <c r="E69" s="41"/>
      <c r="F69" s="41"/>
      <c r="G69" s="40"/>
      <c r="H69" s="39"/>
      <c r="I69" s="146" t="s">
        <v>511</v>
      </c>
      <c r="J69" s="146"/>
      <c r="K69" s="146">
        <v>625000</v>
      </c>
      <c r="L69" s="146">
        <v>625000</v>
      </c>
      <c r="M69" s="68"/>
      <c r="N69" s="47"/>
      <c r="O69" s="47"/>
      <c r="P69" s="47"/>
    </row>
    <row r="70" spans="2:19" x14ac:dyDescent="0.25">
      <c r="B70" s="40"/>
      <c r="C70" s="41"/>
      <c r="D70" s="41"/>
      <c r="E70" s="41"/>
      <c r="F70" s="41"/>
      <c r="G70" s="40"/>
      <c r="H70" s="39"/>
      <c r="I70" s="146" t="s">
        <v>512</v>
      </c>
      <c r="J70" s="146"/>
      <c r="K70" s="146">
        <v>250000</v>
      </c>
      <c r="L70" s="146">
        <v>250000</v>
      </c>
      <c r="M70" s="68"/>
      <c r="N70" s="47"/>
      <c r="O70" s="47"/>
      <c r="P70" s="47"/>
    </row>
    <row r="71" spans="2:19" x14ac:dyDescent="0.25">
      <c r="B71" s="40"/>
      <c r="C71" s="41"/>
      <c r="D71" s="41"/>
      <c r="E71" s="41"/>
      <c r="F71" s="41"/>
      <c r="G71" s="40"/>
      <c r="H71" s="39"/>
      <c r="I71" s="146" t="s">
        <v>513</v>
      </c>
      <c r="J71" s="146"/>
      <c r="K71" s="146">
        <v>850000</v>
      </c>
      <c r="L71" s="146">
        <v>850000</v>
      </c>
      <c r="M71" s="68"/>
      <c r="N71" s="47"/>
      <c r="O71" s="47"/>
      <c r="P71" s="47"/>
    </row>
    <row r="72" spans="2:19" x14ac:dyDescent="0.25">
      <c r="B72" s="40"/>
      <c r="C72" s="41"/>
      <c r="D72" s="41"/>
      <c r="E72" s="41"/>
      <c r="F72" s="41"/>
      <c r="G72" s="40"/>
      <c r="H72" s="39"/>
      <c r="I72" s="146" t="s">
        <v>514</v>
      </c>
      <c r="J72" s="146"/>
      <c r="K72" s="146">
        <v>850000</v>
      </c>
      <c r="L72" s="146">
        <v>850000</v>
      </c>
      <c r="M72" s="68"/>
      <c r="N72" s="47"/>
      <c r="O72" s="47"/>
      <c r="P72" s="47"/>
      <c r="R72" s="1">
        <v>521205960</v>
      </c>
    </row>
    <row r="73" spans="2:19" x14ac:dyDescent="0.25">
      <c r="B73" s="40"/>
      <c r="C73" s="41"/>
      <c r="D73" s="41"/>
      <c r="E73" s="41"/>
      <c r="F73" s="41"/>
      <c r="G73" s="40"/>
      <c r="H73" s="39"/>
      <c r="I73" s="39"/>
      <c r="J73" s="39"/>
      <c r="K73" s="39"/>
      <c r="L73" s="39"/>
      <c r="M73" s="68"/>
      <c r="N73" s="47"/>
      <c r="O73" s="47"/>
      <c r="P73" s="47"/>
    </row>
    <row r="74" spans="2:19" x14ac:dyDescent="0.25">
      <c r="B74" s="40"/>
      <c r="C74" s="41"/>
      <c r="D74" s="41"/>
      <c r="E74" s="41"/>
      <c r="F74" s="41"/>
      <c r="G74" s="40"/>
      <c r="H74" s="39"/>
      <c r="I74" s="150" t="s">
        <v>515</v>
      </c>
      <c r="J74" s="150"/>
      <c r="K74" s="150">
        <v>500000</v>
      </c>
      <c r="L74" s="150">
        <v>500000</v>
      </c>
      <c r="M74" s="68"/>
      <c r="N74" s="47"/>
      <c r="O74" s="47"/>
      <c r="P74" s="47"/>
    </row>
    <row r="75" spans="2:19" x14ac:dyDescent="0.25">
      <c r="B75" s="40"/>
      <c r="C75" s="41"/>
      <c r="D75" s="41"/>
      <c r="E75" s="41"/>
      <c r="F75" s="41"/>
      <c r="G75" s="40"/>
      <c r="H75" s="39"/>
      <c r="I75" s="150" t="s">
        <v>516</v>
      </c>
      <c r="J75" s="150"/>
      <c r="K75" s="150">
        <v>1050000</v>
      </c>
      <c r="L75" s="150">
        <v>1050000</v>
      </c>
      <c r="M75" s="68"/>
      <c r="N75" s="47"/>
      <c r="O75" s="47"/>
      <c r="P75" s="47"/>
    </row>
    <row r="76" spans="2:19" x14ac:dyDescent="0.25">
      <c r="B76" s="40"/>
      <c r="C76" s="41"/>
      <c r="D76" s="41"/>
      <c r="E76" s="41"/>
      <c r="F76" s="41"/>
      <c r="G76" s="40"/>
      <c r="H76" s="39"/>
      <c r="I76" s="150" t="s">
        <v>517</v>
      </c>
      <c r="J76" s="150"/>
      <c r="K76" s="150">
        <v>1075000</v>
      </c>
      <c r="L76" s="150">
        <v>1075000</v>
      </c>
      <c r="M76" s="68"/>
      <c r="N76" s="47"/>
      <c r="O76" s="47"/>
      <c r="P76" s="47"/>
    </row>
    <row r="77" spans="2:19" x14ac:dyDescent="0.25">
      <c r="B77" s="40"/>
      <c r="C77" s="41"/>
      <c r="D77" s="41"/>
      <c r="E77" s="41"/>
      <c r="F77" s="41"/>
      <c r="G77" s="40"/>
      <c r="H77" s="39"/>
      <c r="I77" s="150" t="s">
        <v>518</v>
      </c>
      <c r="J77" s="150"/>
      <c r="K77" s="150">
        <v>600000</v>
      </c>
      <c r="L77" s="150">
        <v>600000</v>
      </c>
      <c r="M77" s="68"/>
      <c r="N77" s="47"/>
      <c r="O77" s="47"/>
      <c r="P77" s="47"/>
    </row>
    <row r="78" spans="2:19" x14ac:dyDescent="0.25">
      <c r="B78" s="40"/>
      <c r="C78" s="41"/>
      <c r="D78" s="41"/>
      <c r="E78" s="41"/>
      <c r="F78" s="41"/>
      <c r="G78" s="40"/>
      <c r="H78" s="39"/>
      <c r="I78" s="150" t="s">
        <v>519</v>
      </c>
      <c r="J78" s="150"/>
      <c r="K78" s="150">
        <v>625000</v>
      </c>
      <c r="L78" s="150">
        <v>625000</v>
      </c>
      <c r="M78" s="68"/>
      <c r="N78" s="47"/>
      <c r="O78" s="47"/>
      <c r="P78" s="47"/>
    </row>
    <row r="79" spans="2:19" x14ac:dyDescent="0.25">
      <c r="B79" s="40"/>
      <c r="C79" s="41"/>
      <c r="D79" s="41"/>
      <c r="E79" s="41"/>
      <c r="F79" s="41"/>
      <c r="G79" s="40"/>
      <c r="H79" s="39"/>
      <c r="I79" s="150" t="s">
        <v>520</v>
      </c>
      <c r="J79" s="150"/>
      <c r="K79" s="150">
        <v>425000</v>
      </c>
      <c r="L79" s="150">
        <v>425000</v>
      </c>
      <c r="M79" s="68"/>
      <c r="N79" s="47"/>
      <c r="O79" s="47"/>
      <c r="P79" s="47"/>
    </row>
    <row r="80" spans="2:19" x14ac:dyDescent="0.25">
      <c r="B80" s="40"/>
      <c r="C80" s="41"/>
      <c r="D80" s="41"/>
      <c r="E80" s="41"/>
      <c r="F80" s="41"/>
      <c r="G80" s="40"/>
      <c r="H80" s="39"/>
      <c r="I80" s="150" t="s">
        <v>521</v>
      </c>
      <c r="J80" s="150"/>
      <c r="K80" s="150">
        <v>625000</v>
      </c>
      <c r="L80" s="150">
        <v>625000</v>
      </c>
      <c r="M80" s="68"/>
      <c r="N80" s="47"/>
      <c r="O80" s="47"/>
      <c r="P80" s="47"/>
    </row>
    <row r="81" spans="2:16" x14ac:dyDescent="0.25">
      <c r="B81" s="40"/>
      <c r="C81" s="41"/>
      <c r="D81" s="41"/>
      <c r="E81" s="41"/>
      <c r="F81" s="41"/>
      <c r="G81" s="40"/>
      <c r="H81" s="39"/>
      <c r="I81" s="150" t="s">
        <v>522</v>
      </c>
      <c r="J81" s="150"/>
      <c r="K81" s="150">
        <v>1025000</v>
      </c>
      <c r="L81" s="150">
        <v>1025000</v>
      </c>
      <c r="M81" s="68"/>
      <c r="N81" s="47"/>
      <c r="O81" s="47"/>
      <c r="P81" s="47"/>
    </row>
    <row r="82" spans="2:16" x14ac:dyDescent="0.25">
      <c r="B82" s="40"/>
      <c r="C82" s="41"/>
      <c r="D82" s="41"/>
      <c r="E82" s="41"/>
      <c r="F82" s="41"/>
      <c r="G82" s="40"/>
      <c r="H82" s="39"/>
      <c r="I82" s="39"/>
      <c r="J82" s="39"/>
      <c r="K82" s="39"/>
      <c r="L82" s="39"/>
      <c r="M82" s="68"/>
      <c r="N82" s="47"/>
      <c r="O82" s="47"/>
      <c r="P82" s="47"/>
    </row>
    <row r="83" spans="2:16" ht="15.75" thickBot="1" x14ac:dyDescent="0.3">
      <c r="B83" s="40"/>
      <c r="C83" s="41"/>
      <c r="D83" s="41"/>
      <c r="E83" s="41"/>
      <c r="F83" s="41"/>
      <c r="G83" s="40"/>
      <c r="H83" s="39"/>
      <c r="I83" s="150" t="s">
        <v>523</v>
      </c>
      <c r="J83" s="150"/>
      <c r="K83" s="150">
        <v>350000</v>
      </c>
      <c r="L83" s="525">
        <v>14799000</v>
      </c>
      <c r="M83" s="68"/>
      <c r="N83" s="42"/>
      <c r="O83" s="42"/>
      <c r="P83" s="42"/>
    </row>
    <row r="84" spans="2:16" ht="15.75" thickBot="1" x14ac:dyDescent="0.3">
      <c r="B84" s="154"/>
      <c r="C84" s="157"/>
      <c r="D84" s="157"/>
      <c r="E84" s="197"/>
      <c r="F84" s="197"/>
      <c r="G84" s="155"/>
      <c r="H84" s="47"/>
      <c r="I84" s="150" t="s">
        <v>524</v>
      </c>
      <c r="J84" s="178"/>
      <c r="K84" s="178">
        <v>425000</v>
      </c>
      <c r="L84" s="526"/>
      <c r="M84" s="23"/>
      <c r="N84" s="156"/>
      <c r="O84" s="156"/>
      <c r="P84" s="156"/>
    </row>
    <row r="85" spans="2:16" ht="15.75" thickBot="1" x14ac:dyDescent="0.3">
      <c r="B85" s="154"/>
      <c r="C85" s="157"/>
      <c r="D85" s="157"/>
      <c r="E85" s="197"/>
      <c r="F85" s="197"/>
      <c r="G85" s="155"/>
      <c r="H85" s="47"/>
      <c r="I85" s="178" t="s">
        <v>531</v>
      </c>
      <c r="J85" s="178"/>
      <c r="K85" s="178">
        <v>625000</v>
      </c>
      <c r="L85" s="526"/>
      <c r="M85" s="23"/>
      <c r="N85" s="156"/>
      <c r="O85" s="156"/>
      <c r="P85" s="156"/>
    </row>
    <row r="86" spans="2:16" ht="15.75" thickBot="1" x14ac:dyDescent="0.3">
      <c r="B86" s="154"/>
      <c r="C86" s="157"/>
      <c r="D86" s="157"/>
      <c r="E86" s="197"/>
      <c r="F86" s="197"/>
      <c r="G86" s="155"/>
      <c r="H86" s="47"/>
      <c r="I86" s="178" t="s">
        <v>532</v>
      </c>
      <c r="J86" s="178"/>
      <c r="K86" s="178">
        <v>850000</v>
      </c>
      <c r="L86" s="526"/>
      <c r="M86" s="23"/>
      <c r="N86" s="156"/>
      <c r="O86" s="156"/>
      <c r="P86" s="156"/>
    </row>
    <row r="87" spans="2:16" ht="15.75" thickBot="1" x14ac:dyDescent="0.3">
      <c r="B87" s="154"/>
      <c r="C87" s="157"/>
      <c r="D87" s="157"/>
      <c r="E87" s="197"/>
      <c r="F87" s="197"/>
      <c r="G87" s="155"/>
      <c r="H87" s="47"/>
      <c r="I87" s="178" t="s">
        <v>533</v>
      </c>
      <c r="J87" s="178"/>
      <c r="K87" s="178">
        <v>225000</v>
      </c>
      <c r="L87" s="526"/>
      <c r="M87" s="23"/>
      <c r="N87" s="156"/>
      <c r="O87" s="156"/>
      <c r="P87" s="156"/>
    </row>
    <row r="88" spans="2:16" ht="15.75" thickBot="1" x14ac:dyDescent="0.3">
      <c r="B88" s="154"/>
      <c r="C88" s="157"/>
      <c r="D88" s="157"/>
      <c r="E88" s="197"/>
      <c r="F88" s="197"/>
      <c r="G88" s="155"/>
      <c r="H88" s="47"/>
      <c r="I88" s="178" t="s">
        <v>534</v>
      </c>
      <c r="J88" s="178"/>
      <c r="K88" s="178">
        <v>1450000</v>
      </c>
      <c r="L88" s="526"/>
      <c r="M88" s="23"/>
      <c r="N88" s="156"/>
      <c r="O88" s="156"/>
      <c r="P88" s="156"/>
    </row>
    <row r="89" spans="2:16" ht="15.75" thickBot="1" x14ac:dyDescent="0.3">
      <c r="B89" s="154"/>
      <c r="C89" s="157"/>
      <c r="D89" s="157"/>
      <c r="E89" s="197"/>
      <c r="F89" s="197"/>
      <c r="G89" s="155"/>
      <c r="H89" s="47"/>
      <c r="I89" s="178" t="s">
        <v>535</v>
      </c>
      <c r="J89" s="178"/>
      <c r="K89" s="178">
        <v>1225000</v>
      </c>
      <c r="L89" s="526"/>
      <c r="M89" s="23"/>
      <c r="N89" s="156"/>
      <c r="O89" s="156"/>
      <c r="P89" s="156"/>
    </row>
    <row r="90" spans="2:16" ht="15.75" thickBot="1" x14ac:dyDescent="0.3">
      <c r="B90" s="154"/>
      <c r="C90" s="157"/>
      <c r="D90" s="157"/>
      <c r="E90" s="197"/>
      <c r="F90" s="197"/>
      <c r="G90" s="155"/>
      <c r="H90" s="47"/>
      <c r="I90" s="178" t="s">
        <v>536</v>
      </c>
      <c r="J90" s="178"/>
      <c r="K90" s="178">
        <v>1025000</v>
      </c>
      <c r="L90" s="526"/>
      <c r="M90" s="23"/>
      <c r="N90" s="156"/>
      <c r="O90" s="156"/>
      <c r="P90" s="156"/>
    </row>
    <row r="91" spans="2:16" ht="15.75" thickBot="1" x14ac:dyDescent="0.3">
      <c r="B91" s="154"/>
      <c r="C91" s="157"/>
      <c r="D91" s="157"/>
      <c r="E91" s="197"/>
      <c r="F91" s="197"/>
      <c r="G91" s="155"/>
      <c r="H91" s="47"/>
      <c r="I91" s="178" t="s">
        <v>537</v>
      </c>
      <c r="J91" s="178"/>
      <c r="K91" s="178">
        <v>1675000</v>
      </c>
      <c r="L91" s="526"/>
      <c r="M91" s="23"/>
      <c r="N91" s="156"/>
      <c r="O91" s="156"/>
      <c r="P91" s="156"/>
    </row>
    <row r="92" spans="2:16" ht="15.75" thickBot="1" x14ac:dyDescent="0.3">
      <c r="B92" s="154"/>
      <c r="C92" s="157"/>
      <c r="D92" s="157"/>
      <c r="E92" s="197"/>
      <c r="F92" s="197"/>
      <c r="G92" s="155"/>
      <c r="H92" s="47"/>
      <c r="I92" s="178" t="s">
        <v>538</v>
      </c>
      <c r="J92" s="178"/>
      <c r="K92" s="178">
        <v>425000</v>
      </c>
      <c r="L92" s="526"/>
      <c r="M92" s="23"/>
      <c r="N92" s="156"/>
      <c r="O92" s="156"/>
      <c r="P92" s="156"/>
    </row>
    <row r="93" spans="2:16" ht="15.75" thickBot="1" x14ac:dyDescent="0.3">
      <c r="B93" s="154"/>
      <c r="C93" s="157"/>
      <c r="D93" s="157"/>
      <c r="E93" s="197"/>
      <c r="F93" s="197"/>
      <c r="G93" s="155"/>
      <c r="H93" s="47"/>
      <c r="I93" s="178" t="s">
        <v>539</v>
      </c>
      <c r="J93" s="205">
        <v>43333</v>
      </c>
      <c r="K93" s="178">
        <v>825000</v>
      </c>
      <c r="L93" s="526"/>
      <c r="M93" s="23"/>
      <c r="N93" s="156"/>
      <c r="O93" s="156"/>
      <c r="P93" s="156"/>
    </row>
    <row r="94" spans="2:16" ht="15.75" thickBot="1" x14ac:dyDescent="0.3">
      <c r="B94" s="154"/>
      <c r="C94" s="157"/>
      <c r="D94" s="157"/>
      <c r="E94" s="197"/>
      <c r="F94" s="197"/>
      <c r="G94" s="155"/>
      <c r="H94" s="47"/>
      <c r="I94" s="178" t="s">
        <v>553</v>
      </c>
      <c r="J94" s="205">
        <v>43391</v>
      </c>
      <c r="K94" s="178">
        <v>900000</v>
      </c>
      <c r="L94" s="526"/>
      <c r="M94" s="23"/>
      <c r="N94" s="156"/>
      <c r="O94" s="156"/>
      <c r="P94" s="156"/>
    </row>
    <row r="95" spans="2:16" ht="15.75" thickBot="1" x14ac:dyDescent="0.3">
      <c r="B95" s="154"/>
      <c r="C95" s="157"/>
      <c r="D95" s="157"/>
      <c r="E95" s="197"/>
      <c r="F95" s="197"/>
      <c r="G95" s="155"/>
      <c r="H95" s="47"/>
      <c r="I95" s="178" t="s">
        <v>568</v>
      </c>
      <c r="J95" s="205">
        <v>43412</v>
      </c>
      <c r="K95" s="178">
        <v>1025000</v>
      </c>
      <c r="L95" s="526"/>
      <c r="M95" s="23"/>
      <c r="N95" s="156"/>
      <c r="O95" s="156"/>
      <c r="P95" s="156"/>
    </row>
    <row r="96" spans="2:16" ht="15.75" thickBot="1" x14ac:dyDescent="0.3">
      <c r="B96" s="154"/>
      <c r="C96" s="157"/>
      <c r="D96" s="157"/>
      <c r="E96" s="197"/>
      <c r="F96" s="197"/>
      <c r="G96" s="155"/>
      <c r="H96" s="47"/>
      <c r="I96" s="178" t="s">
        <v>569</v>
      </c>
      <c r="J96" s="205">
        <v>43412</v>
      </c>
      <c r="K96" s="178">
        <v>1050000</v>
      </c>
      <c r="L96" s="526"/>
      <c r="M96" s="23"/>
      <c r="N96" s="156"/>
      <c r="O96" s="156"/>
      <c r="P96" s="156"/>
    </row>
    <row r="97" spans="2:18" ht="15.75" thickBot="1" x14ac:dyDescent="0.3">
      <c r="B97" s="154"/>
      <c r="C97" s="157"/>
      <c r="D97" s="157"/>
      <c r="E97" s="197"/>
      <c r="F97" s="197"/>
      <c r="G97" s="155"/>
      <c r="H97" s="47"/>
      <c r="I97" s="178" t="s">
        <v>570</v>
      </c>
      <c r="J97" s="205">
        <v>43412</v>
      </c>
      <c r="K97" s="178">
        <v>1800000</v>
      </c>
      <c r="L97" s="526"/>
      <c r="M97" s="23"/>
      <c r="N97" s="156"/>
      <c r="O97" s="156"/>
      <c r="P97" s="156"/>
    </row>
    <row r="98" spans="2:18" ht="15.75" thickBot="1" x14ac:dyDescent="0.3">
      <c r="B98" s="154"/>
      <c r="C98" s="157"/>
      <c r="D98" s="157"/>
      <c r="E98" s="197"/>
      <c r="F98" s="197"/>
      <c r="G98" s="155"/>
      <c r="H98" s="47"/>
      <c r="I98" s="178" t="s">
        <v>571</v>
      </c>
      <c r="J98" s="205">
        <v>43412</v>
      </c>
      <c r="K98" s="178">
        <v>825000</v>
      </c>
      <c r="L98" s="526"/>
      <c r="M98" s="23"/>
      <c r="N98" s="156"/>
      <c r="O98" s="156"/>
      <c r="P98" s="156"/>
    </row>
    <row r="99" spans="2:18" ht="15.75" thickBot="1" x14ac:dyDescent="0.3">
      <c r="B99" s="154"/>
      <c r="C99" s="157"/>
      <c r="D99" s="157"/>
      <c r="E99" s="197"/>
      <c r="F99" s="197"/>
      <c r="G99" s="155"/>
      <c r="H99" s="47"/>
      <c r="I99" s="47"/>
      <c r="J99" s="214"/>
      <c r="K99" s="47"/>
      <c r="L99" s="207"/>
      <c r="M99" s="23"/>
      <c r="N99" s="156"/>
      <c r="O99" s="156"/>
      <c r="P99" s="156"/>
    </row>
    <row r="100" spans="2:18" ht="15.75" thickBot="1" x14ac:dyDescent="0.3">
      <c r="B100" s="154"/>
      <c r="C100" s="157"/>
      <c r="D100" s="157"/>
      <c r="E100" s="197"/>
      <c r="F100" s="197"/>
      <c r="G100" s="155"/>
      <c r="H100" s="47"/>
      <c r="I100" s="47"/>
      <c r="J100" s="214"/>
      <c r="K100" s="47"/>
      <c r="L100" s="207"/>
      <c r="M100" s="23"/>
      <c r="N100" s="156"/>
      <c r="O100" s="156"/>
      <c r="P100" s="156"/>
    </row>
    <row r="101" spans="2:18" ht="15.75" thickBot="1" x14ac:dyDescent="0.3">
      <c r="B101" s="154"/>
      <c r="C101" s="157"/>
      <c r="D101" s="157"/>
      <c r="E101" s="197"/>
      <c r="F101" s="197"/>
      <c r="G101" s="155"/>
      <c r="H101" s="47"/>
      <c r="I101" s="47"/>
      <c r="J101" s="214"/>
      <c r="K101" s="47"/>
      <c r="L101" s="207"/>
      <c r="M101" s="23"/>
      <c r="N101" s="156"/>
      <c r="O101" s="156"/>
      <c r="P101" s="156"/>
    </row>
    <row r="102" spans="2:18" ht="15.75" thickBot="1" x14ac:dyDescent="0.3">
      <c r="B102" s="154"/>
      <c r="C102" s="157"/>
      <c r="D102" s="157"/>
      <c r="E102" s="197"/>
      <c r="F102" s="197"/>
      <c r="G102" s="155"/>
      <c r="H102" s="47"/>
      <c r="I102" s="47"/>
      <c r="J102" s="47"/>
      <c r="K102" s="47"/>
      <c r="L102" s="47"/>
      <c r="M102" s="23"/>
      <c r="N102" s="156"/>
      <c r="O102" s="156"/>
      <c r="P102" s="156"/>
    </row>
    <row r="103" spans="2:18" ht="15.75" thickBot="1" x14ac:dyDescent="0.3">
      <c r="B103" s="154"/>
      <c r="C103" s="157"/>
      <c r="D103" s="157"/>
      <c r="E103" s="197"/>
      <c r="F103" s="197"/>
      <c r="G103" s="155"/>
      <c r="H103" s="47"/>
      <c r="I103" s="47"/>
      <c r="J103" s="47"/>
      <c r="K103" s="47"/>
      <c r="L103" s="47"/>
      <c r="M103" s="23"/>
      <c r="N103" s="158">
        <f>SUM(L64,N68)</f>
        <v>7992000</v>
      </c>
      <c r="O103" s="164">
        <f>16949000+L66+L59</f>
        <v>542162960</v>
      </c>
      <c r="P103" s="156">
        <f>3000000+L62</f>
        <v>284376000</v>
      </c>
    </row>
    <row r="104" spans="2:18" ht="15.75" thickBot="1" x14ac:dyDescent="0.3">
      <c r="B104" s="162"/>
      <c r="C104" s="162"/>
      <c r="D104" s="162"/>
      <c r="E104" s="162"/>
      <c r="F104" s="162"/>
      <c r="G104" s="162"/>
      <c r="H104" s="163"/>
      <c r="I104" s="17"/>
      <c r="J104" s="17"/>
      <c r="K104" s="185"/>
      <c r="L104" s="186"/>
      <c r="M104" s="71"/>
      <c r="N104" s="70">
        <f>SUM(N59:N68)</f>
        <v>8000000</v>
      </c>
      <c r="O104" s="70">
        <f>SUM(O59:O68)</f>
        <v>740949000</v>
      </c>
      <c r="P104" s="70">
        <f>SUM(P59:P68)</f>
        <v>363000000</v>
      </c>
    </row>
    <row r="105" spans="2:18" ht="16.5" thickBot="1" x14ac:dyDescent="0.3">
      <c r="B105" s="527" t="s">
        <v>31</v>
      </c>
      <c r="C105" s="528"/>
      <c r="D105" s="528"/>
      <c r="E105" s="528"/>
      <c r="F105" s="528"/>
      <c r="G105" s="529"/>
      <c r="H105" s="161">
        <f>SUM(H59:H68)</f>
        <v>1111949000</v>
      </c>
      <c r="I105" s="161"/>
      <c r="J105" s="161"/>
      <c r="K105" s="161">
        <f>SUM(K59:K104)</f>
        <v>553055960</v>
      </c>
      <c r="L105" s="70">
        <f>SUM(L59:L83)</f>
        <v>834530960</v>
      </c>
      <c r="M105" s="159"/>
      <c r="N105" s="160">
        <f>N53+N103</f>
        <v>379665000</v>
      </c>
      <c r="O105" s="165">
        <f>O53+O103</f>
        <v>552562960</v>
      </c>
      <c r="P105" s="165">
        <f>P53+P103</f>
        <v>493036700</v>
      </c>
    </row>
    <row r="106" spans="2:18" ht="16.5" thickBot="1" x14ac:dyDescent="0.3">
      <c r="B106" s="530" t="s">
        <v>168</v>
      </c>
      <c r="C106" s="531"/>
      <c r="D106" s="531"/>
      <c r="E106" s="531"/>
      <c r="F106" s="531"/>
      <c r="G106" s="532"/>
      <c r="H106" s="75">
        <f>H105+H54</f>
        <v>1709949000</v>
      </c>
      <c r="I106" s="75"/>
      <c r="J106" s="191"/>
      <c r="K106" s="191">
        <f>K54+K105</f>
        <v>1131114660</v>
      </c>
      <c r="L106" s="149">
        <f>L54+L105</f>
        <v>1425264660</v>
      </c>
      <c r="M106" s="142" t="s">
        <v>167</v>
      </c>
      <c r="N106" s="72">
        <f>N104+N54</f>
        <v>382600000</v>
      </c>
      <c r="O106" s="72">
        <f>O104+O54</f>
        <v>751424000</v>
      </c>
      <c r="P106" s="72">
        <f>P104+P54</f>
        <v>575925000</v>
      </c>
      <c r="R106" s="73">
        <f>H106-L106</f>
        <v>284684340</v>
      </c>
    </row>
    <row r="107" spans="2:18" ht="16.5" thickBot="1" x14ac:dyDescent="0.3">
      <c r="C107" s="1"/>
      <c r="I107" s="193" t="s">
        <v>16</v>
      </c>
      <c r="J107" s="193"/>
      <c r="K107" s="192">
        <f>K106/L106</f>
        <v>0.79361727807100757</v>
      </c>
      <c r="P107" s="73"/>
    </row>
    <row r="108" spans="2:18" x14ac:dyDescent="0.25">
      <c r="C108" s="1"/>
      <c r="N108" s="136" t="s">
        <v>490</v>
      </c>
      <c r="O108" s="136" t="s">
        <v>488</v>
      </c>
      <c r="P108" s="136" t="s">
        <v>489</v>
      </c>
    </row>
    <row r="109" spans="2:18" ht="15.75" x14ac:dyDescent="0.25">
      <c r="D109" s="73"/>
      <c r="E109" s="73"/>
      <c r="F109" s="73"/>
      <c r="G109" s="137"/>
      <c r="H109" s="137"/>
      <c r="I109" s="137"/>
      <c r="J109" s="137"/>
      <c r="K109" s="137"/>
      <c r="L109" s="77" t="s">
        <v>466</v>
      </c>
      <c r="M109" s="77" t="s">
        <v>466</v>
      </c>
      <c r="N109" s="76">
        <f>L4</f>
        <v>427487250</v>
      </c>
      <c r="O109" s="131">
        <f>L5</f>
        <v>769477050</v>
      </c>
      <c r="P109" s="132">
        <f>L6</f>
        <v>512984700</v>
      </c>
      <c r="R109" s="1" t="s">
        <v>469</v>
      </c>
    </row>
    <row r="110" spans="2:18" ht="15.75" x14ac:dyDescent="0.25">
      <c r="D110" s="73"/>
      <c r="E110" s="73"/>
      <c r="F110" s="73"/>
      <c r="G110" s="73"/>
      <c r="H110" s="73"/>
      <c r="I110" s="73"/>
      <c r="J110" s="73"/>
      <c r="K110" s="73"/>
      <c r="L110" s="77" t="s">
        <v>467</v>
      </c>
      <c r="M110" s="77" t="s">
        <v>467</v>
      </c>
      <c r="N110" s="73">
        <f>N109</f>
        <v>427487250</v>
      </c>
      <c r="O110" s="132">
        <f>O109+N111</f>
        <v>817299300</v>
      </c>
      <c r="P110" s="132">
        <f>P109+O111</f>
        <v>777721040</v>
      </c>
    </row>
    <row r="111" spans="2:18" ht="15.75" x14ac:dyDescent="0.25">
      <c r="L111" s="77" t="s">
        <v>465</v>
      </c>
      <c r="M111" s="77" t="s">
        <v>465</v>
      </c>
      <c r="N111" s="73">
        <f>N110-N105</f>
        <v>47822250</v>
      </c>
      <c r="O111" s="73">
        <f>O110-O105</f>
        <v>264736340</v>
      </c>
      <c r="P111" s="132">
        <f>P110-P105</f>
        <v>284684340</v>
      </c>
    </row>
    <row r="112" spans="2:18" ht="15.75" x14ac:dyDescent="0.25">
      <c r="L112" s="134" t="s">
        <v>468</v>
      </c>
      <c r="M112" s="134" t="s">
        <v>468</v>
      </c>
      <c r="N112" s="135">
        <f>(N105/N110)*100</f>
        <v>88.813175129784568</v>
      </c>
      <c r="O112" s="135">
        <f>(O105/O110)*100</f>
        <v>67.608397560110475</v>
      </c>
      <c r="P112" s="138">
        <f>(P105/P109)*100</f>
        <v>96.111384998421983</v>
      </c>
    </row>
    <row r="113" spans="3:16" ht="15.75" x14ac:dyDescent="0.25">
      <c r="L113" s="134"/>
      <c r="M113" s="134"/>
      <c r="N113" s="135"/>
      <c r="O113" s="135"/>
      <c r="P113" s="138"/>
    </row>
    <row r="114" spans="3:16" x14ac:dyDescent="0.25">
      <c r="C114" s="1" t="s">
        <v>476</v>
      </c>
      <c r="D114" s="73" t="s">
        <v>480</v>
      </c>
      <c r="E114" s="73"/>
      <c r="F114" s="73"/>
      <c r="G114" s="1">
        <f>900000/27599000*100</f>
        <v>3.260987716946266</v>
      </c>
      <c r="H114" s="1">
        <f>13350000/27599000*100</f>
        <v>48.371317801369614</v>
      </c>
      <c r="I114" s="73">
        <f>SUM(K83:K93,K44:K48)</f>
        <v>13350000</v>
      </c>
      <c r="L114" s="73"/>
      <c r="M114" s="133"/>
    </row>
    <row r="115" spans="3:16" x14ac:dyDescent="0.25">
      <c r="C115" s="1" t="s">
        <v>477</v>
      </c>
      <c r="D115" s="73" t="s">
        <v>483</v>
      </c>
      <c r="E115" s="73"/>
      <c r="F115" s="73"/>
      <c r="O115" s="73"/>
      <c r="P115" s="73">
        <f>1000110660+425986000</f>
        <v>1426096660</v>
      </c>
    </row>
    <row r="116" spans="3:16" x14ac:dyDescent="0.25">
      <c r="C116" s="1" t="s">
        <v>481</v>
      </c>
      <c r="D116" s="1" t="s">
        <v>482</v>
      </c>
    </row>
    <row r="117" spans="3:16" x14ac:dyDescent="0.25">
      <c r="C117" s="1" t="s">
        <v>478</v>
      </c>
      <c r="D117" s="1" t="s">
        <v>479</v>
      </c>
    </row>
    <row r="119" spans="3:16" x14ac:dyDescent="0.25">
      <c r="M119" s="1">
        <v>3150000</v>
      </c>
      <c r="N119" s="1">
        <f>M119*4</f>
        <v>12600000</v>
      </c>
    </row>
    <row r="120" spans="3:16" x14ac:dyDescent="0.25">
      <c r="F120" s="1">
        <f>18950000/27599000*100</f>
        <v>68.661908040146386</v>
      </c>
      <c r="J120" s="206">
        <f>1143888660/L106*100</f>
        <v>80.257982401668471</v>
      </c>
      <c r="L120" s="73">
        <f>SUM(L14:L40,L64:L72)</f>
        <v>588333700</v>
      </c>
      <c r="M120" s="1">
        <v>11250000</v>
      </c>
      <c r="N120" s="1">
        <f>M120*4</f>
        <v>45000000</v>
      </c>
    </row>
    <row r="121" spans="3:16" x14ac:dyDescent="0.25">
      <c r="J121" s="1">
        <f>L62/L106*100</f>
        <v>19.742017598331525</v>
      </c>
      <c r="M121" s="1">
        <v>9000000</v>
      </c>
      <c r="N121" s="1">
        <f>M121*4</f>
        <v>36000000</v>
      </c>
    </row>
    <row r="122" spans="3:16" x14ac:dyDescent="0.25">
      <c r="C122" s="1" t="s">
        <v>471</v>
      </c>
      <c r="D122" s="1">
        <v>40000000</v>
      </c>
      <c r="G122" s="1">
        <v>12</v>
      </c>
      <c r="H122" s="1">
        <f>G122*D122</f>
        <v>480000000</v>
      </c>
      <c r="L122" s="1">
        <f>0.3*H122</f>
        <v>144000000</v>
      </c>
      <c r="N122" s="1">
        <v>15000000</v>
      </c>
    </row>
    <row r="123" spans="3:16" x14ac:dyDescent="0.25">
      <c r="C123" s="1" t="s">
        <v>472</v>
      </c>
      <c r="D123" s="1">
        <v>20000000</v>
      </c>
      <c r="G123" s="1">
        <v>12</v>
      </c>
      <c r="H123" s="1">
        <f>G123*D123</f>
        <v>240000000</v>
      </c>
      <c r="N123" s="1">
        <f>SUM(N119:N122)</f>
        <v>108600000</v>
      </c>
    </row>
    <row r="124" spans="3:16" x14ac:dyDescent="0.25">
      <c r="D124" s="1">
        <v>60000000</v>
      </c>
      <c r="G124" s="1">
        <v>12</v>
      </c>
      <c r="H124" s="1">
        <f>G124*D124</f>
        <v>720000000</v>
      </c>
      <c r="L124" s="1">
        <f>L122+H123</f>
        <v>384000000</v>
      </c>
    </row>
    <row r="125" spans="3:16" x14ac:dyDescent="0.25">
      <c r="P125" s="1">
        <f>H122-L122</f>
        <v>336000000</v>
      </c>
    </row>
    <row r="127" spans="3:16" x14ac:dyDescent="0.25">
      <c r="H127" s="188">
        <f>825000/27599000*100</f>
        <v>2.9892387405340775</v>
      </c>
      <c r="I127" s="1">
        <f>850000*5</f>
        <v>4250000</v>
      </c>
    </row>
    <row r="128" spans="3:16" x14ac:dyDescent="0.25">
      <c r="L128" s="1">
        <f>0.3*H122</f>
        <v>144000000</v>
      </c>
      <c r="N128" s="1">
        <f>H122-L128</f>
        <v>336000000</v>
      </c>
    </row>
    <row r="129" spans="3:16" x14ac:dyDescent="0.25">
      <c r="L129" s="1">
        <f>L128+H123</f>
        <v>384000000</v>
      </c>
    </row>
    <row r="132" spans="3:16" x14ac:dyDescent="0.25">
      <c r="D132" s="1">
        <v>769477050</v>
      </c>
      <c r="E132" s="73">
        <f>SUM(L24:L28,L59,L66)</f>
        <v>724949660</v>
      </c>
      <c r="F132" s="199">
        <f>D132-(E132+E133+E134)</f>
        <v>30278390</v>
      </c>
      <c r="G132" s="1" t="s">
        <v>548</v>
      </c>
    </row>
    <row r="133" spans="3:16" x14ac:dyDescent="0.25">
      <c r="C133" s="74" t="s">
        <v>546</v>
      </c>
      <c r="E133" s="73">
        <f>H37-(SUM(L37:L42,K44:K48))</f>
        <v>8550000</v>
      </c>
      <c r="L133" s="1">
        <f>720000000+360000000</f>
        <v>1080000000</v>
      </c>
    </row>
    <row r="134" spans="3:16" x14ac:dyDescent="0.25">
      <c r="C134" s="74" t="s">
        <v>547</v>
      </c>
      <c r="E134" s="73">
        <f>H68-(SUM(L68:L81,K83:K93))</f>
        <v>5699000</v>
      </c>
    </row>
    <row r="136" spans="3:16" x14ac:dyDescent="0.25">
      <c r="H136" s="1">
        <v>1025000</v>
      </c>
      <c r="L136" s="1" t="s">
        <v>496</v>
      </c>
      <c r="N136" s="1">
        <v>309600000</v>
      </c>
      <c r="O136" s="73">
        <f>SUM(L14:L20)</f>
        <v>277773000</v>
      </c>
      <c r="P136" s="73">
        <f>N136-O136</f>
        <v>31827000</v>
      </c>
    </row>
    <row r="137" spans="3:16" x14ac:dyDescent="0.25">
      <c r="H137" s="1">
        <v>625000</v>
      </c>
      <c r="L137" s="1" t="s">
        <v>497</v>
      </c>
      <c r="N137" s="1">
        <v>230400000</v>
      </c>
      <c r="O137" s="148">
        <v>79900000</v>
      </c>
      <c r="P137" s="73">
        <f>N137-O137</f>
        <v>150500000</v>
      </c>
    </row>
    <row r="138" spans="3:16" x14ac:dyDescent="0.25">
      <c r="H138" s="1">
        <v>625000</v>
      </c>
    </row>
    <row r="139" spans="3:16" x14ac:dyDescent="0.25">
      <c r="H139" s="1">
        <v>600000</v>
      </c>
    </row>
    <row r="140" spans="3:16" x14ac:dyDescent="0.25">
      <c r="H140" s="1">
        <v>425000</v>
      </c>
      <c r="O140" s="1">
        <v>55557700</v>
      </c>
    </row>
    <row r="142" spans="3:16" x14ac:dyDescent="0.25">
      <c r="O142" s="169">
        <v>18519232</v>
      </c>
    </row>
    <row r="143" spans="3:16" x14ac:dyDescent="0.25">
      <c r="O143" s="169">
        <v>18519234</v>
      </c>
    </row>
    <row r="144" spans="3:16" x14ac:dyDescent="0.25">
      <c r="O144" s="169">
        <v>18519234</v>
      </c>
    </row>
    <row r="145" spans="3:16" x14ac:dyDescent="0.25">
      <c r="C145" s="74" t="s">
        <v>500</v>
      </c>
      <c r="D145" s="171">
        <v>5480768</v>
      </c>
      <c r="E145" s="171"/>
      <c r="F145" s="171"/>
    </row>
    <row r="146" spans="3:16" x14ac:dyDescent="0.25">
      <c r="D146" s="172">
        <v>2740384</v>
      </c>
      <c r="E146" s="172"/>
      <c r="F146" s="172"/>
      <c r="H146" s="1">
        <v>51000000</v>
      </c>
    </row>
    <row r="147" spans="3:16" x14ac:dyDescent="0.25">
      <c r="H147" s="171">
        <f>H146-D146</f>
        <v>48259616</v>
      </c>
      <c r="I147" s="171">
        <f>802581960+582208700+40874000</f>
        <v>1425664660</v>
      </c>
      <c r="J147" s="171"/>
      <c r="K147" s="171"/>
      <c r="O147" s="169">
        <f>O142+O143+O144</f>
        <v>55557700</v>
      </c>
    </row>
    <row r="148" spans="3:16" x14ac:dyDescent="0.25">
      <c r="D148" s="1">
        <v>24129808</v>
      </c>
      <c r="H148" s="171">
        <f>H147/2</f>
        <v>24129808</v>
      </c>
      <c r="I148" s="171">
        <f>1359990660+65674000</f>
        <v>1425664660</v>
      </c>
      <c r="J148" s="171"/>
      <c r="K148" s="171"/>
    </row>
    <row r="150" spans="3:16" x14ac:dyDescent="0.25">
      <c r="D150" s="172">
        <f>13307766/2</f>
        <v>6653883</v>
      </c>
      <c r="E150" s="172"/>
      <c r="F150" s="172"/>
    </row>
    <row r="153" spans="3:16" x14ac:dyDescent="0.25">
      <c r="D153" s="172">
        <f>H146-D150-D146</f>
        <v>41605733</v>
      </c>
      <c r="E153" s="172"/>
      <c r="F153" s="172"/>
    </row>
    <row r="154" spans="3:16" x14ac:dyDescent="0.25">
      <c r="N154" s="1">
        <v>40874000</v>
      </c>
      <c r="O154" s="1">
        <v>13275000</v>
      </c>
      <c r="P154" s="168">
        <f>N154-O154</f>
        <v>27599000</v>
      </c>
    </row>
    <row r="158" spans="3:16" x14ac:dyDescent="0.25">
      <c r="D158" s="171">
        <f>93178000-D146-D150</f>
        <v>83783733</v>
      </c>
      <c r="E158" s="171"/>
      <c r="F158" s="171"/>
      <c r="I158" s="73">
        <f>385840000/L4*100</f>
        <v>90.257662655435922</v>
      </c>
      <c r="J158" s="73"/>
    </row>
    <row r="159" spans="3:16" x14ac:dyDescent="0.25">
      <c r="H159" s="187"/>
    </row>
    <row r="161" spans="4:11" x14ac:dyDescent="0.25">
      <c r="D161" s="1">
        <v>83783733</v>
      </c>
    </row>
    <row r="163" spans="4:11" x14ac:dyDescent="0.25">
      <c r="I163" s="168">
        <v>6653883</v>
      </c>
      <c r="J163" s="168"/>
    </row>
    <row r="164" spans="4:11" x14ac:dyDescent="0.25">
      <c r="I164" s="168">
        <v>2740384</v>
      </c>
      <c r="J164" s="168"/>
    </row>
    <row r="165" spans="4:11" x14ac:dyDescent="0.25">
      <c r="I165" s="168">
        <v>83783733</v>
      </c>
      <c r="J165" s="168"/>
    </row>
    <row r="166" spans="4:11" x14ac:dyDescent="0.25">
      <c r="E166" s="203">
        <v>18519234</v>
      </c>
      <c r="F166" s="1">
        <f>E166/55557700*100</f>
        <v>33.333334533287015</v>
      </c>
      <c r="H166" s="170">
        <v>93178000</v>
      </c>
      <c r="I166" s="168"/>
      <c r="J166" s="168"/>
    </row>
    <row r="167" spans="4:11" x14ac:dyDescent="0.25">
      <c r="E167" s="203">
        <v>18519234</v>
      </c>
      <c r="F167" s="1">
        <f t="shared" ref="F167:F168" si="0">E167/55557700*100</f>
        <v>33.333334533287015</v>
      </c>
    </row>
    <row r="168" spans="4:11" x14ac:dyDescent="0.25">
      <c r="E168" s="203">
        <v>18519232</v>
      </c>
      <c r="F168" s="1">
        <f t="shared" si="0"/>
        <v>33.33333093342597</v>
      </c>
    </row>
    <row r="170" spans="4:11" x14ac:dyDescent="0.25">
      <c r="F170" s="203"/>
    </row>
    <row r="171" spans="4:11" x14ac:dyDescent="0.25">
      <c r="I171" s="1">
        <f>350000/27599000*100</f>
        <v>1.2681618899235481</v>
      </c>
    </row>
    <row r="172" spans="4:11" x14ac:dyDescent="0.25">
      <c r="F172" s="203"/>
    </row>
    <row r="175" spans="4:11" x14ac:dyDescent="0.25">
      <c r="E175" s="1">
        <v>6653883</v>
      </c>
      <c r="F175" s="1">
        <f>E175/93178000*100</f>
        <v>7.1410450964820011</v>
      </c>
    </row>
    <row r="176" spans="4:11" x14ac:dyDescent="0.25">
      <c r="E176" s="1">
        <v>83783733</v>
      </c>
      <c r="F176" s="1">
        <f t="shared" ref="F176:F177" si="1">E176/93178000*100</f>
        <v>89.917934490974261</v>
      </c>
      <c r="K176" s="1">
        <f>2018-64</f>
        <v>1954</v>
      </c>
    </row>
    <row r="177" spans="5:6" x14ac:dyDescent="0.25">
      <c r="E177" s="1">
        <v>2740384</v>
      </c>
      <c r="F177" s="1">
        <f t="shared" si="1"/>
        <v>2.9410204125437338</v>
      </c>
    </row>
  </sheetData>
  <mergeCells count="17">
    <mergeCell ref="B105:G105"/>
    <mergeCell ref="B106:G106"/>
    <mergeCell ref="B54:G54"/>
    <mergeCell ref="B55:P55"/>
    <mergeCell ref="B56:P56"/>
    <mergeCell ref="B57:P57"/>
    <mergeCell ref="L83:L98"/>
    <mergeCell ref="R59:R61"/>
    <mergeCell ref="B2:P2"/>
    <mergeCell ref="B10:B11"/>
    <mergeCell ref="C10:C11"/>
    <mergeCell ref="D10:D11"/>
    <mergeCell ref="G10:G11"/>
    <mergeCell ref="H10:H11"/>
    <mergeCell ref="L10:L11"/>
    <mergeCell ref="M10:M11"/>
    <mergeCell ref="L44:L51"/>
  </mergeCells>
  <printOptions horizontalCentered="1" verticalCentered="1"/>
  <pageMargins left="0.19685039370078741" right="0" top="0.19685039370078741" bottom="0.19685039370078741" header="0.31496062992125984" footer="0.31496062992125984"/>
  <pageSetup paperSize="256" scale="21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63"/>
  <sheetViews>
    <sheetView topLeftCell="A79" zoomScale="80" zoomScaleNormal="80" workbookViewId="0">
      <selection activeCell="N22" sqref="N22"/>
    </sheetView>
  </sheetViews>
  <sheetFormatPr defaultRowHeight="15" x14ac:dyDescent="0.25"/>
  <cols>
    <col min="1" max="1" width="9.140625" style="1"/>
    <col min="2" max="2" width="4.85546875" style="1" customWidth="1"/>
    <col min="3" max="3" width="23.85546875" style="74" customWidth="1"/>
    <col min="4" max="4" width="29.140625" style="1" customWidth="1"/>
    <col min="5" max="5" width="25.42578125" style="1" customWidth="1"/>
    <col min="6" max="6" width="12.7109375" style="1" customWidth="1"/>
    <col min="7" max="7" width="17.28515625" style="1" customWidth="1"/>
    <col min="8" max="8" width="21.42578125" style="1" hidden="1" customWidth="1"/>
    <col min="9" max="9" width="12.42578125" style="1" hidden="1" customWidth="1"/>
    <col min="10" max="10" width="18.42578125" style="1" hidden="1" customWidth="1"/>
    <col min="11" max="11" width="20.5703125" style="1" hidden="1" customWidth="1"/>
    <col min="12" max="12" width="26" style="1" hidden="1" customWidth="1"/>
    <col min="13" max="13" width="21.140625" style="1" customWidth="1"/>
    <col min="14" max="14" width="19.42578125" style="1" customWidth="1"/>
    <col min="15" max="15" width="22" style="1" customWidth="1"/>
    <col min="16" max="16" width="21.42578125" style="1" customWidth="1"/>
    <col min="17" max="17" width="16.5703125" style="1" bestFit="1" customWidth="1"/>
    <col min="18" max="18" width="10" style="1" bestFit="1" customWidth="1"/>
    <col min="19" max="16384" width="9.140625" style="1"/>
  </cols>
  <sheetData>
    <row r="2" spans="2:17" ht="18.75" x14ac:dyDescent="0.3">
      <c r="B2" s="467" t="s">
        <v>572</v>
      </c>
      <c r="C2" s="467"/>
      <c r="D2" s="467"/>
      <c r="E2" s="467"/>
      <c r="F2" s="467"/>
      <c r="G2" s="467"/>
      <c r="H2" s="467"/>
      <c r="I2" s="467"/>
      <c r="J2" s="467"/>
      <c r="K2" s="467"/>
      <c r="L2" s="467"/>
      <c r="M2" s="467"/>
      <c r="N2" s="467"/>
      <c r="O2" s="467"/>
    </row>
    <row r="4" spans="2:17" ht="15.75" x14ac:dyDescent="0.25">
      <c r="B4" s="17"/>
      <c r="C4" s="124" t="s">
        <v>429</v>
      </c>
      <c r="D4" s="125">
        <v>1120895000</v>
      </c>
      <c r="E4" s="125"/>
      <c r="F4" s="124"/>
      <c r="G4" s="129" t="s">
        <v>578</v>
      </c>
      <c r="H4" s="129"/>
      <c r="I4" s="129"/>
      <c r="J4" s="129"/>
      <c r="M4" s="127">
        <f>0.25*$D$4</f>
        <v>280223750</v>
      </c>
      <c r="N4" s="189">
        <v>378590000</v>
      </c>
      <c r="O4" s="190">
        <f>427487250-N4</f>
        <v>48897250</v>
      </c>
      <c r="Q4" s="131"/>
    </row>
    <row r="5" spans="2:17" ht="15.75" x14ac:dyDescent="0.25">
      <c r="C5" s="124"/>
      <c r="D5" s="124"/>
      <c r="E5" s="124"/>
      <c r="F5" s="124"/>
      <c r="G5" s="129" t="s">
        <v>579</v>
      </c>
      <c r="H5" s="129"/>
      <c r="I5" s="129"/>
      <c r="J5" s="129"/>
      <c r="M5" s="127">
        <f>0.45*$D$4</f>
        <v>504402750</v>
      </c>
      <c r="N5" s="131"/>
      <c r="Q5" s="73"/>
    </row>
    <row r="6" spans="2:17" ht="15.75" x14ac:dyDescent="0.25">
      <c r="C6" s="129"/>
      <c r="D6" s="127"/>
      <c r="E6" s="127"/>
      <c r="F6" s="217"/>
      <c r="G6" s="129" t="s">
        <v>580</v>
      </c>
      <c r="H6" s="129"/>
      <c r="I6" s="129"/>
      <c r="J6" s="129"/>
      <c r="M6" s="127">
        <f>0.3*$D$4</f>
        <v>336268500</v>
      </c>
    </row>
    <row r="8" spans="2:17" ht="18.75" x14ac:dyDescent="0.3">
      <c r="B8" s="143" t="s">
        <v>581</v>
      </c>
      <c r="C8" s="143"/>
      <c r="D8" s="143"/>
      <c r="E8" s="143"/>
      <c r="F8" s="143"/>
      <c r="G8" s="143"/>
      <c r="H8" s="143"/>
      <c r="I8" s="143"/>
      <c r="J8" s="143"/>
      <c r="K8" s="143"/>
      <c r="L8" s="143"/>
      <c r="M8" s="143"/>
      <c r="N8" s="143"/>
      <c r="O8" s="143"/>
    </row>
    <row r="9" spans="2:17" ht="15.75" thickBot="1" x14ac:dyDescent="0.3">
      <c r="C9" s="1"/>
    </row>
    <row r="10" spans="2:17" ht="15.75" customHeight="1" thickBot="1" x14ac:dyDescent="0.3">
      <c r="B10" s="476" t="s">
        <v>0</v>
      </c>
      <c r="C10" s="476" t="s">
        <v>585</v>
      </c>
      <c r="D10" s="476" t="s">
        <v>583</v>
      </c>
      <c r="E10" s="476" t="s">
        <v>584</v>
      </c>
      <c r="F10" s="476" t="s">
        <v>161</v>
      </c>
      <c r="G10" s="506" t="s">
        <v>14</v>
      </c>
      <c r="H10" s="215" t="s">
        <v>554</v>
      </c>
      <c r="I10" s="215"/>
      <c r="J10" s="215"/>
      <c r="K10" s="520" t="s">
        <v>582</v>
      </c>
      <c r="L10" s="476" t="s">
        <v>164</v>
      </c>
      <c r="M10" s="533" t="s">
        <v>484</v>
      </c>
      <c r="N10" s="534"/>
      <c r="O10" s="535"/>
      <c r="P10" s="167"/>
    </row>
    <row r="11" spans="2:17" ht="15.75" thickBot="1" x14ac:dyDescent="0.3">
      <c r="B11" s="477"/>
      <c r="C11" s="477"/>
      <c r="D11" s="477"/>
      <c r="E11" s="477"/>
      <c r="F11" s="477"/>
      <c r="G11" s="507"/>
      <c r="H11" s="216"/>
      <c r="I11" s="216"/>
      <c r="J11" s="216"/>
      <c r="K11" s="521"/>
      <c r="L11" s="477"/>
      <c r="M11" s="151" t="s">
        <v>576</v>
      </c>
      <c r="N11" s="234" t="s">
        <v>577</v>
      </c>
      <c r="O11" s="153" t="s">
        <v>487</v>
      </c>
    </row>
    <row r="12" spans="2:17" ht="16.5" thickBot="1" x14ac:dyDescent="0.3">
      <c r="B12" s="43" t="s">
        <v>165</v>
      </c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167"/>
    </row>
    <row r="13" spans="2:17" ht="15.75" x14ac:dyDescent="0.25">
      <c r="B13" s="64"/>
      <c r="C13" s="64"/>
      <c r="D13" s="64"/>
      <c r="E13" s="64"/>
      <c r="F13" s="64"/>
      <c r="G13" s="64"/>
      <c r="H13" s="64"/>
      <c r="I13" s="64"/>
      <c r="J13" s="64"/>
      <c r="K13" s="64"/>
      <c r="L13" s="64"/>
      <c r="M13" s="65"/>
      <c r="N13" s="65"/>
      <c r="O13" s="65"/>
    </row>
    <row r="14" spans="2:17" ht="15" customHeight="1" x14ac:dyDescent="0.25">
      <c r="B14" s="4">
        <v>1</v>
      </c>
      <c r="C14" s="66" t="s">
        <v>96</v>
      </c>
      <c r="D14" s="66" t="s">
        <v>586</v>
      </c>
      <c r="E14" s="66" t="s">
        <v>540</v>
      </c>
      <c r="F14" s="4" t="s">
        <v>603</v>
      </c>
      <c r="G14" s="5">
        <v>46850000</v>
      </c>
      <c r="H14" s="140"/>
      <c r="I14" s="219"/>
      <c r="J14" s="140"/>
      <c r="K14" s="140"/>
      <c r="L14" s="66" t="s">
        <v>419</v>
      </c>
      <c r="M14" s="5">
        <v>46850000</v>
      </c>
      <c r="N14" s="5"/>
      <c r="O14" s="5"/>
      <c r="P14" s="246">
        <f>SUM(M14:O14)</f>
        <v>46850000</v>
      </c>
    </row>
    <row r="15" spans="2:17" x14ac:dyDescent="0.25">
      <c r="B15" s="6"/>
      <c r="C15" s="38"/>
      <c r="D15" s="38"/>
      <c r="E15" s="38"/>
      <c r="F15" s="6"/>
      <c r="G15" s="7"/>
      <c r="H15" s="220"/>
      <c r="I15" s="220"/>
      <c r="J15" s="220"/>
      <c r="K15" s="220"/>
      <c r="L15" s="67"/>
      <c r="M15" s="5"/>
      <c r="N15" s="5"/>
      <c r="O15" s="5"/>
      <c r="P15" s="246"/>
    </row>
    <row r="16" spans="2:17" x14ac:dyDescent="0.25">
      <c r="B16" s="6">
        <v>2</v>
      </c>
      <c r="C16" s="66" t="s">
        <v>96</v>
      </c>
      <c r="D16" s="66" t="s">
        <v>586</v>
      </c>
      <c r="E16" s="66" t="s">
        <v>540</v>
      </c>
      <c r="F16" s="4" t="s">
        <v>603</v>
      </c>
      <c r="G16" s="7">
        <v>46850000</v>
      </c>
      <c r="H16" s="220"/>
      <c r="I16" s="221"/>
      <c r="J16" s="220"/>
      <c r="K16" s="220"/>
      <c r="L16" s="38" t="s">
        <v>462</v>
      </c>
      <c r="M16" s="5">
        <v>46850000</v>
      </c>
      <c r="N16" s="5"/>
      <c r="O16" s="5"/>
      <c r="P16" s="246">
        <f t="shared" ref="P16:P26" si="0">SUM(M16:O16)</f>
        <v>46850000</v>
      </c>
    </row>
    <row r="17" spans="1:17" x14ac:dyDescent="0.25">
      <c r="B17" s="6"/>
      <c r="C17" s="38"/>
      <c r="D17" s="38"/>
      <c r="E17" s="38"/>
      <c r="F17" s="6"/>
      <c r="G17" s="7"/>
      <c r="H17" s="220"/>
      <c r="I17" s="220"/>
      <c r="J17" s="220"/>
      <c r="K17" s="220"/>
      <c r="L17" s="67"/>
      <c r="M17" s="5"/>
      <c r="N17" s="5"/>
      <c r="O17" s="5"/>
      <c r="P17" s="246"/>
    </row>
    <row r="18" spans="1:17" x14ac:dyDescent="0.25">
      <c r="B18" s="6">
        <v>3</v>
      </c>
      <c r="C18" s="38" t="s">
        <v>103</v>
      </c>
      <c r="D18" s="66" t="s">
        <v>586</v>
      </c>
      <c r="E18" s="66" t="s">
        <v>540</v>
      </c>
      <c r="F18" s="4" t="s">
        <v>604</v>
      </c>
      <c r="G18" s="7">
        <v>6000000</v>
      </c>
      <c r="H18" s="222"/>
      <c r="I18" s="223"/>
      <c r="J18" s="222"/>
      <c r="K18" s="222"/>
      <c r="L18" s="106" t="s">
        <v>463</v>
      </c>
      <c r="N18" s="5">
        <v>6000000</v>
      </c>
      <c r="O18" s="7"/>
      <c r="P18" s="246">
        <f t="shared" si="0"/>
        <v>6000000</v>
      </c>
    </row>
    <row r="19" spans="1:17" x14ac:dyDescent="0.25">
      <c r="B19" s="6"/>
      <c r="C19" s="38"/>
      <c r="D19" s="38"/>
      <c r="E19" s="38"/>
      <c r="F19" s="6"/>
      <c r="G19" s="7"/>
      <c r="H19" s="220"/>
      <c r="I19" s="220"/>
      <c r="J19" s="220"/>
      <c r="K19" s="220"/>
      <c r="L19" s="122"/>
      <c r="M19" s="5"/>
      <c r="N19" s="5"/>
      <c r="O19" s="5"/>
      <c r="P19" s="246"/>
    </row>
    <row r="20" spans="1:17" x14ac:dyDescent="0.25">
      <c r="B20" s="6">
        <v>4</v>
      </c>
      <c r="C20" s="38" t="s">
        <v>106</v>
      </c>
      <c r="D20" s="66" t="s">
        <v>586</v>
      </c>
      <c r="E20" s="66" t="s">
        <v>540</v>
      </c>
      <c r="F20" s="6" t="s">
        <v>627</v>
      </c>
      <c r="G20" s="7">
        <v>4000000</v>
      </c>
      <c r="H20" s="222"/>
      <c r="I20" s="223"/>
      <c r="J20" s="222"/>
      <c r="K20" s="222"/>
      <c r="L20" s="106"/>
      <c r="M20" s="5"/>
      <c r="N20" s="5">
        <v>4000000</v>
      </c>
      <c r="O20" s="5"/>
      <c r="P20" s="246">
        <f t="shared" si="0"/>
        <v>4000000</v>
      </c>
    </row>
    <row r="21" spans="1:17" x14ac:dyDescent="0.25">
      <c r="B21" s="40"/>
      <c r="C21" s="41"/>
      <c r="D21" s="41"/>
      <c r="E21" s="41"/>
      <c r="F21" s="40"/>
      <c r="G21" s="39"/>
      <c r="H21" s="222"/>
      <c r="I21" s="222"/>
      <c r="J21" s="222"/>
      <c r="K21" s="222"/>
      <c r="L21" s="106"/>
      <c r="M21" s="5"/>
      <c r="N21" s="5"/>
      <c r="O21" s="5"/>
      <c r="P21" s="246"/>
    </row>
    <row r="22" spans="1:17" x14ac:dyDescent="0.25">
      <c r="B22" s="40">
        <v>5</v>
      </c>
      <c r="C22" s="92" t="s">
        <v>575</v>
      </c>
      <c r="D22" s="66" t="s">
        <v>586</v>
      </c>
      <c r="E22" s="66" t="s">
        <v>540</v>
      </c>
      <c r="F22" s="40" t="s">
        <v>628</v>
      </c>
      <c r="G22" s="39">
        <v>6300000</v>
      </c>
      <c r="H22" s="222"/>
      <c r="I22" s="223"/>
      <c r="J22" s="222"/>
      <c r="K22" s="222"/>
      <c r="L22" s="106"/>
      <c r="M22" s="5"/>
      <c r="N22" s="5">
        <v>6300000</v>
      </c>
      <c r="O22" s="5"/>
      <c r="P22" s="246">
        <f t="shared" si="0"/>
        <v>6300000</v>
      </c>
    </row>
    <row r="23" spans="1:17" x14ac:dyDescent="0.25">
      <c r="B23" s="40"/>
      <c r="C23" s="41"/>
      <c r="D23" s="41"/>
      <c r="E23" s="41"/>
      <c r="F23" s="200"/>
      <c r="G23" s="39"/>
      <c r="H23" s="222"/>
      <c r="I23" s="222"/>
      <c r="J23" s="222"/>
      <c r="K23" s="222"/>
      <c r="L23" s="106"/>
      <c r="M23" s="5"/>
      <c r="N23" s="5"/>
      <c r="O23" s="5"/>
      <c r="P23" s="246"/>
    </row>
    <row r="24" spans="1:17" ht="30.75" customHeight="1" x14ac:dyDescent="0.25">
      <c r="B24" s="40">
        <v>6</v>
      </c>
      <c r="C24" s="92" t="s">
        <v>589</v>
      </c>
      <c r="D24" s="66" t="s">
        <v>586</v>
      </c>
      <c r="E24" s="41" t="s">
        <v>541</v>
      </c>
      <c r="F24" s="40" t="s">
        <v>603</v>
      </c>
      <c r="G24" s="39">
        <v>4400000</v>
      </c>
      <c r="H24" s="222"/>
      <c r="I24" s="223"/>
      <c r="J24" s="222"/>
      <c r="K24" s="222"/>
      <c r="L24" s="68" t="s">
        <v>108</v>
      </c>
      <c r="M24" s="5">
        <f>G24</f>
        <v>4400000</v>
      </c>
      <c r="N24" s="5"/>
      <c r="O24" s="5"/>
      <c r="P24" s="246">
        <f t="shared" si="0"/>
        <v>4400000</v>
      </c>
    </row>
    <row r="25" spans="1:17" x14ac:dyDescent="0.25">
      <c r="B25" s="40"/>
      <c r="C25" s="41"/>
      <c r="D25" s="41"/>
      <c r="E25" s="41"/>
      <c r="F25" s="40"/>
      <c r="G25" s="39"/>
      <c r="H25" s="222"/>
      <c r="I25" s="222"/>
      <c r="J25" s="222"/>
      <c r="K25" s="222"/>
      <c r="L25" s="68"/>
      <c r="M25" s="5"/>
      <c r="N25" s="5"/>
      <c r="O25" s="5"/>
      <c r="P25" s="246"/>
    </row>
    <row r="26" spans="1:17" ht="32.25" customHeight="1" x14ac:dyDescent="0.25">
      <c r="B26" s="40">
        <v>7</v>
      </c>
      <c r="C26" s="92" t="s">
        <v>590</v>
      </c>
      <c r="D26" s="38" t="s">
        <v>586</v>
      </c>
      <c r="E26" s="41" t="s">
        <v>541</v>
      </c>
      <c r="F26" s="40" t="s">
        <v>603</v>
      </c>
      <c r="G26" s="39">
        <v>3300000</v>
      </c>
      <c r="H26" s="222"/>
      <c r="I26" s="223"/>
      <c r="J26" s="222"/>
      <c r="K26" s="222"/>
      <c r="L26" s="68"/>
      <c r="M26" s="5"/>
      <c r="N26" s="5">
        <v>3300000</v>
      </c>
      <c r="O26" s="5"/>
      <c r="P26" s="246">
        <f t="shared" si="0"/>
        <v>3300000</v>
      </c>
    </row>
    <row r="27" spans="1:17" x14ac:dyDescent="0.25">
      <c r="B27" s="40"/>
      <c r="C27" s="41"/>
      <c r="D27" s="41"/>
      <c r="E27" s="41"/>
      <c r="F27" s="40"/>
      <c r="G27" s="39"/>
      <c r="H27" s="222"/>
      <c r="I27" s="222"/>
      <c r="J27" s="222"/>
      <c r="K27" s="222"/>
      <c r="L27" s="68"/>
      <c r="M27" s="5"/>
      <c r="N27" s="5"/>
      <c r="O27" s="5"/>
      <c r="P27" s="246"/>
    </row>
    <row r="28" spans="1:17" ht="15" customHeight="1" x14ac:dyDescent="0.25">
      <c r="A28" s="1" t="s">
        <v>456</v>
      </c>
      <c r="B28" s="40">
        <v>8</v>
      </c>
      <c r="C28" s="41" t="s">
        <v>598</v>
      </c>
      <c r="D28" s="41" t="s">
        <v>543</v>
      </c>
      <c r="E28" s="41" t="s">
        <v>541</v>
      </c>
      <c r="F28" s="40" t="s">
        <v>166</v>
      </c>
      <c r="G28" s="39">
        <v>13727500</v>
      </c>
      <c r="H28" s="222"/>
      <c r="I28" s="222"/>
      <c r="J28" s="222"/>
      <c r="K28" s="222"/>
      <c r="L28" s="68"/>
      <c r="M28" s="5">
        <v>4000000</v>
      </c>
      <c r="N28" s="5">
        <v>9727500</v>
      </c>
      <c r="O28" s="5"/>
      <c r="P28" s="246">
        <f>SUM(M28:O28)</f>
        <v>13727500</v>
      </c>
      <c r="Q28" s="73"/>
    </row>
    <row r="29" spans="1:17" ht="15" customHeight="1" x14ac:dyDescent="0.25">
      <c r="B29" s="40"/>
      <c r="C29" s="41"/>
      <c r="D29" s="41"/>
      <c r="E29" s="41"/>
      <c r="F29" s="40"/>
      <c r="G29" s="39"/>
      <c r="H29" s="222"/>
      <c r="I29" s="222"/>
      <c r="J29" s="222"/>
      <c r="K29" s="222"/>
      <c r="L29" s="68"/>
      <c r="M29" s="47"/>
      <c r="N29" s="47"/>
      <c r="O29" s="47"/>
      <c r="P29" s="246"/>
      <c r="Q29" s="73"/>
    </row>
    <row r="30" spans="1:17" ht="15.75" thickBot="1" x14ac:dyDescent="0.3">
      <c r="B30" s="166"/>
      <c r="C30" s="180"/>
      <c r="D30" s="180"/>
      <c r="E30" s="196"/>
      <c r="F30" s="183"/>
      <c r="G30" s="39"/>
      <c r="H30" s="222"/>
      <c r="I30" s="222"/>
      <c r="J30" s="222"/>
      <c r="K30" s="224"/>
      <c r="L30" s="68"/>
      <c r="M30" s="42"/>
      <c r="N30" s="42"/>
      <c r="O30" s="42"/>
    </row>
    <row r="31" spans="1:17" ht="16.5" thickBot="1" x14ac:dyDescent="0.3">
      <c r="B31" s="516" t="s">
        <v>591</v>
      </c>
      <c r="C31" s="517"/>
      <c r="D31" s="517"/>
      <c r="E31" s="517"/>
      <c r="F31" s="518"/>
      <c r="G31" s="70">
        <f>SUM(G13:G30)</f>
        <v>131427500</v>
      </c>
      <c r="H31" s="70"/>
      <c r="I31" s="70"/>
      <c r="J31" s="70">
        <f>SUM(J14:J30)</f>
        <v>0</v>
      </c>
      <c r="K31" s="70">
        <f>SUM(K13:K30)</f>
        <v>0</v>
      </c>
      <c r="L31" s="71"/>
      <c r="M31" s="160">
        <f>SUM(M13:M30)</f>
        <v>102100000</v>
      </c>
      <c r="N31" s="235">
        <f>SUM(N13:N30)</f>
        <v>29327500</v>
      </c>
      <c r="O31" s="236">
        <f>SUM(O13:O30)</f>
        <v>0</v>
      </c>
    </row>
    <row r="32" spans="1:17" ht="16.5" thickBot="1" x14ac:dyDescent="0.3">
      <c r="B32" s="43" t="s">
        <v>573</v>
      </c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167"/>
    </row>
    <row r="33" spans="2:16" ht="15.75" x14ac:dyDescent="0.25">
      <c r="B33" s="64"/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65"/>
      <c r="N33" s="65"/>
      <c r="O33" s="65"/>
    </row>
    <row r="34" spans="2:16" ht="28.5" customHeight="1" x14ac:dyDescent="0.25">
      <c r="B34" s="4">
        <v>1</v>
      </c>
      <c r="C34" s="115" t="s">
        <v>587</v>
      </c>
      <c r="D34" s="66" t="s">
        <v>586</v>
      </c>
      <c r="E34" s="66" t="s">
        <v>540</v>
      </c>
      <c r="F34" s="4" t="s">
        <v>606</v>
      </c>
      <c r="G34" s="5">
        <v>58800000</v>
      </c>
      <c r="H34" s="140"/>
      <c r="I34" s="219"/>
      <c r="J34" s="140"/>
      <c r="K34" s="140"/>
      <c r="L34" s="66" t="s">
        <v>419</v>
      </c>
      <c r="M34" s="5">
        <f>G34</f>
        <v>58800000</v>
      </c>
      <c r="N34" s="5"/>
      <c r="O34" s="5"/>
      <c r="P34" s="246">
        <f>SUM(M34:O34)</f>
        <v>58800000</v>
      </c>
    </row>
    <row r="35" spans="2:16" x14ac:dyDescent="0.25">
      <c r="B35" s="6"/>
      <c r="C35" s="38"/>
      <c r="D35" s="38"/>
      <c r="E35" s="38"/>
      <c r="F35" s="6"/>
      <c r="G35" s="7"/>
      <c r="H35" s="220"/>
      <c r="I35" s="220"/>
      <c r="J35" s="220"/>
      <c r="K35" s="220"/>
      <c r="L35" s="67"/>
      <c r="M35" s="5"/>
      <c r="N35" s="5"/>
      <c r="O35" s="5"/>
      <c r="P35" s="246"/>
    </row>
    <row r="36" spans="2:16" ht="33.75" customHeight="1" x14ac:dyDescent="0.25">
      <c r="B36" s="6">
        <v>2</v>
      </c>
      <c r="C36" s="115" t="s">
        <v>595</v>
      </c>
      <c r="D36" s="66" t="s">
        <v>586</v>
      </c>
      <c r="E36" s="66" t="s">
        <v>540</v>
      </c>
      <c r="F36" s="4" t="s">
        <v>604</v>
      </c>
      <c r="G36" s="7">
        <v>15000000</v>
      </c>
      <c r="H36" s="220"/>
      <c r="I36" s="221"/>
      <c r="J36" s="220"/>
      <c r="K36" s="220"/>
      <c r="L36" s="38" t="s">
        <v>462</v>
      </c>
      <c r="M36" s="5">
        <f>G36</f>
        <v>15000000</v>
      </c>
      <c r="N36" s="5"/>
      <c r="O36" s="5"/>
      <c r="P36" s="246">
        <f t="shared" ref="P36:P44" si="1">SUM(M36:O36)</f>
        <v>15000000</v>
      </c>
    </row>
    <row r="37" spans="2:16" x14ac:dyDescent="0.25">
      <c r="B37" s="6"/>
      <c r="C37" s="38"/>
      <c r="D37" s="38"/>
      <c r="E37" s="38"/>
      <c r="F37" s="6"/>
      <c r="G37" s="7"/>
      <c r="H37" s="220"/>
      <c r="I37" s="220"/>
      <c r="J37" s="220"/>
      <c r="K37" s="220"/>
      <c r="L37" s="67"/>
      <c r="M37" s="5"/>
      <c r="N37" s="5"/>
      <c r="O37" s="5"/>
      <c r="P37" s="246"/>
    </row>
    <row r="38" spans="2:16" ht="68.25" customHeight="1" x14ac:dyDescent="0.25">
      <c r="B38" s="6">
        <v>3</v>
      </c>
      <c r="C38" s="115" t="s">
        <v>596</v>
      </c>
      <c r="D38" s="66" t="s">
        <v>586</v>
      </c>
      <c r="E38" s="66" t="s">
        <v>540</v>
      </c>
      <c r="F38" s="4" t="s">
        <v>605</v>
      </c>
      <c r="G38" s="7">
        <v>93550250</v>
      </c>
      <c r="H38" s="220"/>
      <c r="I38" s="221"/>
      <c r="J38" s="220"/>
      <c r="K38" s="220"/>
      <c r="L38" s="67" t="s">
        <v>101</v>
      </c>
      <c r="M38" s="5">
        <f>G38</f>
        <v>93550250</v>
      </c>
      <c r="N38" s="5"/>
      <c r="O38" s="5"/>
      <c r="P38" s="246">
        <f t="shared" si="1"/>
        <v>93550250</v>
      </c>
    </row>
    <row r="39" spans="2:16" x14ac:dyDescent="0.25">
      <c r="B39" s="6"/>
      <c r="C39" s="38"/>
      <c r="D39" s="38"/>
      <c r="E39" s="38"/>
      <c r="F39" s="6"/>
      <c r="G39" s="7"/>
      <c r="H39" s="220"/>
      <c r="I39" s="220"/>
      <c r="J39" s="220"/>
      <c r="K39" s="220"/>
      <c r="L39" s="67"/>
      <c r="M39" s="5"/>
      <c r="N39" s="5"/>
      <c r="O39" s="5"/>
      <c r="P39" s="246"/>
    </row>
    <row r="40" spans="2:16" ht="66" customHeight="1" x14ac:dyDescent="0.25">
      <c r="B40" s="6">
        <v>4</v>
      </c>
      <c r="C40" s="115" t="s">
        <v>588</v>
      </c>
      <c r="D40" s="66" t="s">
        <v>586</v>
      </c>
      <c r="E40" s="41" t="s">
        <v>541</v>
      </c>
      <c r="F40" s="4" t="s">
        <v>603</v>
      </c>
      <c r="G40" s="7">
        <v>2400000</v>
      </c>
      <c r="H40" s="220"/>
      <c r="I40" s="221"/>
      <c r="J40" s="220"/>
      <c r="K40" s="220"/>
      <c r="L40" s="66" t="s">
        <v>419</v>
      </c>
      <c r="M40" s="5">
        <v>2400000</v>
      </c>
      <c r="N40" s="5"/>
      <c r="O40" s="5"/>
      <c r="P40" s="246">
        <f t="shared" si="1"/>
        <v>2400000</v>
      </c>
    </row>
    <row r="41" spans="2:16" x14ac:dyDescent="0.25">
      <c r="B41" s="6"/>
      <c r="C41" s="38"/>
      <c r="D41" s="38"/>
      <c r="E41" s="38"/>
      <c r="F41" s="6"/>
      <c r="G41" s="7"/>
      <c r="H41" s="220"/>
      <c r="I41" s="220"/>
      <c r="J41" s="220"/>
      <c r="K41" s="220"/>
      <c r="L41" s="67"/>
      <c r="M41" s="5"/>
      <c r="N41" s="5"/>
      <c r="O41" s="5"/>
      <c r="P41" s="246"/>
    </row>
    <row r="42" spans="2:16" ht="45" x14ac:dyDescent="0.25">
      <c r="B42" s="6">
        <v>5</v>
      </c>
      <c r="C42" s="58" t="s">
        <v>597</v>
      </c>
      <c r="D42" s="66" t="s">
        <v>586</v>
      </c>
      <c r="E42" s="41" t="s">
        <v>541</v>
      </c>
      <c r="F42" s="6" t="s">
        <v>603</v>
      </c>
      <c r="G42" s="7">
        <v>1750000</v>
      </c>
      <c r="H42" s="220"/>
      <c r="I42" s="221"/>
      <c r="J42" s="220"/>
      <c r="K42" s="220"/>
      <c r="L42" s="38" t="s">
        <v>419</v>
      </c>
      <c r="M42" s="5">
        <f>G42</f>
        <v>1750000</v>
      </c>
      <c r="N42" s="5"/>
      <c r="O42" s="5"/>
      <c r="P42" s="246">
        <f t="shared" si="1"/>
        <v>1750000</v>
      </c>
    </row>
    <row r="43" spans="2:16" x14ac:dyDescent="0.25">
      <c r="B43" s="6"/>
      <c r="C43" s="38"/>
      <c r="D43" s="38"/>
      <c r="E43" s="38"/>
      <c r="F43" s="6"/>
      <c r="G43" s="7"/>
      <c r="H43" s="220"/>
      <c r="I43" s="220"/>
      <c r="J43" s="220"/>
      <c r="K43" s="220"/>
      <c r="L43" s="67"/>
      <c r="M43" s="7"/>
      <c r="N43" s="5"/>
      <c r="O43" s="5"/>
      <c r="P43" s="246"/>
    </row>
    <row r="44" spans="2:16" x14ac:dyDescent="0.25">
      <c r="B44" s="6">
        <v>6</v>
      </c>
      <c r="C44" s="38" t="s">
        <v>598</v>
      </c>
      <c r="D44" s="41" t="s">
        <v>543</v>
      </c>
      <c r="E44" s="41" t="s">
        <v>541</v>
      </c>
      <c r="F44" s="6" t="s">
        <v>166</v>
      </c>
      <c r="G44" s="7">
        <v>5740000</v>
      </c>
      <c r="H44" s="222"/>
      <c r="I44" s="223"/>
      <c r="J44" s="222"/>
      <c r="K44" s="222"/>
      <c r="L44" s="106" t="s">
        <v>463</v>
      </c>
      <c r="N44" s="5">
        <v>5740000</v>
      </c>
      <c r="O44" s="7"/>
      <c r="P44" s="246">
        <f t="shared" si="1"/>
        <v>5740000</v>
      </c>
    </row>
    <row r="45" spans="2:16" x14ac:dyDescent="0.25">
      <c r="B45" s="6"/>
      <c r="C45" s="38"/>
      <c r="D45" s="38"/>
      <c r="E45" s="38"/>
      <c r="F45" s="6"/>
      <c r="G45" s="7"/>
      <c r="H45" s="220"/>
      <c r="I45" s="220"/>
      <c r="J45" s="220"/>
      <c r="K45" s="220"/>
      <c r="L45" s="122"/>
      <c r="M45" s="5"/>
      <c r="N45" s="5"/>
      <c r="O45" s="5"/>
      <c r="P45" s="246"/>
    </row>
    <row r="46" spans="2:16" ht="15.75" thickBot="1" x14ac:dyDescent="0.3">
      <c r="B46" s="40"/>
      <c r="C46" s="41"/>
      <c r="D46" s="41"/>
      <c r="E46" s="41"/>
      <c r="F46" s="40"/>
      <c r="G46" s="39"/>
      <c r="H46" s="222"/>
      <c r="I46" s="222"/>
      <c r="J46" s="222"/>
      <c r="K46" s="222"/>
      <c r="L46" s="106"/>
      <c r="M46" s="5"/>
      <c r="N46" s="5"/>
      <c r="O46" s="5"/>
      <c r="P46" s="246"/>
    </row>
    <row r="47" spans="2:16" ht="16.5" thickBot="1" x14ac:dyDescent="0.3">
      <c r="B47" s="516" t="s">
        <v>592</v>
      </c>
      <c r="C47" s="517"/>
      <c r="D47" s="517"/>
      <c r="E47" s="517"/>
      <c r="F47" s="518"/>
      <c r="G47" s="70">
        <f>SUM(G33:G46)</f>
        <v>177240250</v>
      </c>
      <c r="H47" s="70"/>
      <c r="I47" s="70"/>
      <c r="J47" s="70">
        <f>SUM(J34:J46)</f>
        <v>0</v>
      </c>
      <c r="K47" s="70">
        <f>SUM(K33:K46)</f>
        <v>0</v>
      </c>
      <c r="L47" s="71"/>
      <c r="M47" s="160">
        <f>SUM(M33:M46)</f>
        <v>171500250</v>
      </c>
      <c r="N47" s="235">
        <f>SUM(N33:N46)</f>
        <v>5740000</v>
      </c>
      <c r="O47" s="236">
        <f>SUM(O33:O46)</f>
        <v>0</v>
      </c>
    </row>
    <row r="48" spans="2:16" ht="16.5" thickBot="1" x14ac:dyDescent="0.3">
      <c r="B48" s="503" t="s">
        <v>574</v>
      </c>
      <c r="C48" s="504"/>
      <c r="D48" s="504"/>
      <c r="E48" s="504"/>
      <c r="F48" s="504"/>
      <c r="G48" s="504"/>
      <c r="H48" s="504"/>
      <c r="I48" s="504"/>
      <c r="J48" s="504"/>
      <c r="K48" s="504"/>
      <c r="L48" s="504"/>
      <c r="M48" s="504"/>
      <c r="N48" s="504"/>
      <c r="O48" s="504"/>
    </row>
    <row r="49" spans="2:17" x14ac:dyDescent="0.25">
      <c r="B49" s="45"/>
      <c r="C49" s="46"/>
      <c r="D49" s="46"/>
      <c r="E49" s="46"/>
      <c r="F49" s="45"/>
      <c r="G49" s="47"/>
      <c r="H49" s="47"/>
      <c r="I49" s="47"/>
      <c r="J49" s="47"/>
      <c r="K49" s="47"/>
      <c r="L49" s="23"/>
      <c r="M49" s="5"/>
      <c r="N49" s="5"/>
      <c r="O49" s="5"/>
      <c r="Q49" s="73"/>
    </row>
    <row r="50" spans="2:17" ht="41.25" customHeight="1" x14ac:dyDescent="0.25">
      <c r="B50" s="40">
        <v>1</v>
      </c>
      <c r="C50" s="92" t="s">
        <v>601</v>
      </c>
      <c r="D50" s="46" t="s">
        <v>600</v>
      </c>
      <c r="E50" s="66" t="s">
        <v>540</v>
      </c>
      <c r="F50" s="40" t="s">
        <v>602</v>
      </c>
      <c r="G50" s="39">
        <v>486045000</v>
      </c>
      <c r="H50" s="222"/>
      <c r="I50" s="223"/>
      <c r="J50" s="222"/>
      <c r="K50" s="222"/>
      <c r="L50" s="68" t="s">
        <v>470</v>
      </c>
      <c r="M50" s="140"/>
      <c r="N50" s="5">
        <v>145813500</v>
      </c>
      <c r="O50" s="5">
        <v>340231500</v>
      </c>
      <c r="P50" s="246">
        <f>SUM(M50:O50)</f>
        <v>486045000</v>
      </c>
      <c r="Q50" s="512"/>
    </row>
    <row r="51" spans="2:17" x14ac:dyDescent="0.25">
      <c r="B51" s="40"/>
      <c r="C51" s="41"/>
      <c r="D51" s="41"/>
      <c r="E51" s="41"/>
      <c r="F51" s="40"/>
      <c r="G51" s="39"/>
      <c r="H51" s="222"/>
      <c r="I51" s="222"/>
      <c r="J51" s="222"/>
      <c r="K51" s="222"/>
      <c r="L51" s="68"/>
      <c r="M51" s="5"/>
      <c r="N51" s="5"/>
      <c r="O51" s="5"/>
      <c r="P51" s="246"/>
      <c r="Q51" s="512"/>
    </row>
    <row r="52" spans="2:17" x14ac:dyDescent="0.25">
      <c r="B52" s="40">
        <v>2</v>
      </c>
      <c r="C52" s="41" t="s">
        <v>119</v>
      </c>
      <c r="D52" s="46" t="s">
        <v>599</v>
      </c>
      <c r="E52" s="66" t="s">
        <v>540</v>
      </c>
      <c r="F52" s="40" t="s">
        <v>630</v>
      </c>
      <c r="G52" s="39">
        <v>301455000</v>
      </c>
      <c r="H52" s="222"/>
      <c r="I52" s="222"/>
      <c r="J52" s="222"/>
      <c r="K52" s="222"/>
      <c r="L52" s="68" t="s">
        <v>464</v>
      </c>
      <c r="M52" s="5"/>
      <c r="N52" s="5">
        <v>301455000</v>
      </c>
      <c r="O52" s="5"/>
      <c r="P52" s="246">
        <f>SUM(M52:O52)</f>
        <v>301455000</v>
      </c>
    </row>
    <row r="53" spans="2:17" x14ac:dyDescent="0.25">
      <c r="B53" s="40"/>
      <c r="C53" s="41"/>
      <c r="D53" s="41"/>
      <c r="E53" s="41"/>
      <c r="F53" s="40"/>
      <c r="G53" s="39"/>
      <c r="H53" s="222"/>
      <c r="I53" s="222"/>
      <c r="J53" s="222"/>
      <c r="K53" s="222"/>
      <c r="L53" s="68"/>
      <c r="M53" s="5"/>
      <c r="N53" s="5"/>
      <c r="O53" s="5"/>
      <c r="P53" s="246"/>
      <c r="Q53" s="73"/>
    </row>
    <row r="54" spans="2:17" x14ac:dyDescent="0.25">
      <c r="B54" s="40">
        <v>3</v>
      </c>
      <c r="C54" s="41" t="s">
        <v>598</v>
      </c>
      <c r="D54" s="41" t="s">
        <v>543</v>
      </c>
      <c r="E54" s="41" t="s">
        <v>541</v>
      </c>
      <c r="F54" s="40" t="s">
        <v>166</v>
      </c>
      <c r="G54" s="39">
        <v>24727250</v>
      </c>
      <c r="H54" s="222"/>
      <c r="I54" s="222"/>
      <c r="J54" s="222"/>
      <c r="K54" s="222"/>
      <c r="L54" s="68"/>
      <c r="M54" s="5">
        <v>5778250</v>
      </c>
      <c r="N54" s="5">
        <v>18949000</v>
      </c>
      <c r="O54" s="5"/>
      <c r="P54" s="246">
        <f>SUM(M54:O54)</f>
        <v>24727250</v>
      </c>
      <c r="Q54" s="175"/>
    </row>
    <row r="55" spans="2:17" x14ac:dyDescent="0.25">
      <c r="B55" s="40"/>
      <c r="C55" s="41"/>
      <c r="D55" s="41"/>
      <c r="E55" s="41"/>
      <c r="F55" s="40"/>
      <c r="G55" s="39"/>
      <c r="H55" s="222"/>
      <c r="I55" s="222"/>
      <c r="J55" s="222"/>
      <c r="K55" s="222"/>
      <c r="L55" s="68"/>
      <c r="M55" s="7"/>
      <c r="N55" s="7"/>
      <c r="O55" s="7"/>
      <c r="P55" s="246"/>
      <c r="Q55" s="247"/>
    </row>
    <row r="56" spans="2:17" x14ac:dyDescent="0.25">
      <c r="B56" s="40"/>
      <c r="C56" s="41"/>
      <c r="D56" s="41"/>
      <c r="E56" s="41"/>
      <c r="F56" s="40"/>
      <c r="G56" s="39"/>
      <c r="H56" s="222"/>
      <c r="I56" s="222"/>
      <c r="J56" s="222"/>
      <c r="K56" s="222"/>
      <c r="L56" s="68"/>
      <c r="M56" s="7"/>
      <c r="N56" s="7"/>
      <c r="O56" s="7"/>
      <c r="P56" s="246"/>
    </row>
    <row r="57" spans="2:17" ht="15.75" thickBot="1" x14ac:dyDescent="0.3">
      <c r="B57" s="40"/>
      <c r="C57" s="41"/>
      <c r="D57" s="41"/>
      <c r="E57" s="41"/>
      <c r="F57" s="40"/>
      <c r="G57" s="39"/>
      <c r="H57" s="222"/>
      <c r="I57" s="222"/>
      <c r="J57" s="222"/>
      <c r="K57" s="224"/>
      <c r="L57" s="68"/>
      <c r="M57" s="42"/>
      <c r="N57" s="42"/>
      <c r="O57" s="42"/>
    </row>
    <row r="58" spans="2:17" ht="16.5" thickBot="1" x14ac:dyDescent="0.3">
      <c r="B58" s="527" t="s">
        <v>593</v>
      </c>
      <c r="C58" s="528"/>
      <c r="D58" s="528"/>
      <c r="E58" s="528"/>
      <c r="F58" s="529"/>
      <c r="G58" s="161">
        <f>SUM(G50:G55)</f>
        <v>812227250</v>
      </c>
      <c r="H58" s="161"/>
      <c r="I58" s="161"/>
      <c r="J58" s="161">
        <f>SUM(J50:J57)</f>
        <v>0</v>
      </c>
      <c r="K58" s="70">
        <f>SUM(K49:K56)</f>
        <v>0</v>
      </c>
      <c r="L58" s="159"/>
      <c r="M58" s="160">
        <f>SUM(M50:M56)</f>
        <v>5778250</v>
      </c>
      <c r="N58" s="235">
        <f>SUM(N50:N56)</f>
        <v>466217500</v>
      </c>
      <c r="O58" s="236">
        <f>SUM(O50:O56)</f>
        <v>340231500</v>
      </c>
    </row>
    <row r="59" spans="2:17" ht="16.5" thickBot="1" x14ac:dyDescent="0.3">
      <c r="B59" s="530" t="s">
        <v>594</v>
      </c>
      <c r="C59" s="531"/>
      <c r="D59" s="531"/>
      <c r="E59" s="531"/>
      <c r="F59" s="532"/>
      <c r="G59" s="75">
        <f>G58+G31+G47</f>
        <v>1120895000</v>
      </c>
      <c r="H59" s="75"/>
      <c r="I59" s="191"/>
      <c r="J59" s="191">
        <f>J31+J58</f>
        <v>0</v>
      </c>
      <c r="K59" s="149">
        <f>K31+K58+K47</f>
        <v>0</v>
      </c>
      <c r="L59" s="218" t="s">
        <v>167</v>
      </c>
      <c r="M59" s="72">
        <f>M58+M47+M31</f>
        <v>279378500</v>
      </c>
      <c r="N59" s="72">
        <f>N58+N47+N31</f>
        <v>501285000</v>
      </c>
      <c r="O59" s="72">
        <f>O58+O47+O31</f>
        <v>340231500</v>
      </c>
      <c r="Q59" s="73"/>
    </row>
    <row r="60" spans="2:17" ht="16.5" thickBot="1" x14ac:dyDescent="0.3">
      <c r="C60" s="1"/>
      <c r="H60" s="193" t="s">
        <v>16</v>
      </c>
      <c r="I60" s="193"/>
      <c r="J60" s="192" t="e">
        <f>J59/K59</f>
        <v>#DIV/0!</v>
      </c>
      <c r="O60" s="73"/>
    </row>
    <row r="61" spans="2:17" x14ac:dyDescent="0.25">
      <c r="C61" s="1"/>
      <c r="M61" s="136" t="s">
        <v>578</v>
      </c>
      <c r="N61" s="136" t="s">
        <v>579</v>
      </c>
      <c r="O61" s="136" t="s">
        <v>580</v>
      </c>
    </row>
    <row r="62" spans="2:17" ht="15.75" x14ac:dyDescent="0.25">
      <c r="D62" s="73"/>
      <c r="F62" s="77"/>
      <c r="G62" s="248" t="s">
        <v>631</v>
      </c>
      <c r="H62" s="137"/>
      <c r="I62" s="137"/>
      <c r="J62" s="137"/>
      <c r="K62" s="77" t="s">
        <v>466</v>
      </c>
      <c r="L62" s="77" t="s">
        <v>466</v>
      </c>
      <c r="M62" s="76">
        <f>M4</f>
        <v>280223750</v>
      </c>
      <c r="N62" s="131">
        <f>M5</f>
        <v>504402750</v>
      </c>
      <c r="O62" s="132">
        <f>M6</f>
        <v>336268500</v>
      </c>
    </row>
    <row r="63" spans="2:17" ht="15.75" x14ac:dyDescent="0.25">
      <c r="D63" s="73"/>
      <c r="F63" s="77"/>
      <c r="G63" s="248" t="s">
        <v>467</v>
      </c>
      <c r="H63" s="73"/>
      <c r="I63" s="73"/>
      <c r="J63" s="73"/>
      <c r="K63" s="77" t="s">
        <v>467</v>
      </c>
      <c r="L63" s="77" t="s">
        <v>467</v>
      </c>
      <c r="M63" s="73">
        <f>M62</f>
        <v>280223750</v>
      </c>
      <c r="N63" s="132">
        <f>N62+M64</f>
        <v>505248000</v>
      </c>
      <c r="O63" s="132">
        <f>O62+N64</f>
        <v>340231500</v>
      </c>
    </row>
    <row r="64" spans="2:17" ht="15.75" x14ac:dyDescent="0.25">
      <c r="F64" s="77"/>
      <c r="G64" s="248" t="s">
        <v>632</v>
      </c>
      <c r="K64" s="77" t="s">
        <v>465</v>
      </c>
      <c r="L64" s="77" t="s">
        <v>465</v>
      </c>
      <c r="M64" s="73">
        <f>M63-M59</f>
        <v>845250</v>
      </c>
      <c r="N64" s="73">
        <f>N63-N59</f>
        <v>3963000</v>
      </c>
      <c r="O64" s="132">
        <f>O63-O59</f>
        <v>0</v>
      </c>
    </row>
    <row r="65" spans="1:17" ht="15.75" x14ac:dyDescent="0.25">
      <c r="F65" s="134"/>
      <c r="G65" s="249" t="s">
        <v>468</v>
      </c>
      <c r="K65" s="134" t="s">
        <v>468</v>
      </c>
      <c r="L65" s="134" t="s">
        <v>468</v>
      </c>
      <c r="M65" s="135">
        <f>(M59/M63)*100</f>
        <v>99.698366037853674</v>
      </c>
      <c r="N65" s="135">
        <f>(N59/N63)*100</f>
        <v>99.215632718981567</v>
      </c>
      <c r="O65" s="138">
        <f>(O59/O63)*100</f>
        <v>100</v>
      </c>
    </row>
    <row r="66" spans="1:17" ht="15.75" x14ac:dyDescent="0.25">
      <c r="K66" s="134"/>
      <c r="L66" s="134"/>
      <c r="M66" s="135"/>
      <c r="N66" s="135"/>
      <c r="O66" s="138"/>
    </row>
    <row r="67" spans="1:17" ht="15.75" x14ac:dyDescent="0.25">
      <c r="K67" s="134"/>
      <c r="L67" s="134"/>
      <c r="M67" s="135"/>
      <c r="N67" s="135"/>
      <c r="O67" s="138"/>
    </row>
    <row r="68" spans="1:17" ht="15.75" x14ac:dyDescent="0.25">
      <c r="K68" s="134"/>
      <c r="L68" s="134"/>
      <c r="M68" s="135"/>
      <c r="N68" s="135"/>
      <c r="O68" s="138"/>
    </row>
    <row r="69" spans="1:17" ht="15.75" x14ac:dyDescent="0.25">
      <c r="K69" s="134"/>
      <c r="L69" s="134"/>
      <c r="M69" s="135"/>
      <c r="N69" s="135"/>
      <c r="O69" s="138"/>
    </row>
    <row r="70" spans="1:17" ht="17.25" x14ac:dyDescent="0.3">
      <c r="A70" s="225"/>
      <c r="B70" s="225"/>
      <c r="C70" s="245" t="s">
        <v>629</v>
      </c>
      <c r="D70" s="225"/>
      <c r="E70" s="225"/>
      <c r="F70" s="225"/>
      <c r="G70" s="225"/>
      <c r="H70" s="225"/>
      <c r="I70" s="225"/>
      <c r="J70" s="225"/>
      <c r="K70" s="225"/>
      <c r="L70" s="225"/>
      <c r="M70" s="225"/>
      <c r="N70" s="225"/>
      <c r="O70" s="225"/>
      <c r="P70" s="225"/>
      <c r="Q70" s="225"/>
    </row>
    <row r="71" spans="1:17" x14ac:dyDescent="0.25">
      <c r="A71" s="225"/>
      <c r="B71" s="225"/>
      <c r="C71" s="238" t="s">
        <v>165</v>
      </c>
      <c r="D71" s="225"/>
      <c r="E71" s="225"/>
      <c r="F71" s="225"/>
      <c r="G71" s="243">
        <f>G72+G76+G77+G78</f>
        <v>131427500</v>
      </c>
      <c r="H71" s="225"/>
      <c r="I71" s="225"/>
      <c r="J71" s="225"/>
      <c r="K71" s="225"/>
      <c r="L71" s="225"/>
      <c r="M71" s="225"/>
      <c r="N71" s="225"/>
      <c r="O71" s="225"/>
      <c r="P71" s="225"/>
      <c r="Q71" s="225"/>
    </row>
    <row r="72" spans="1:17" x14ac:dyDescent="0.25">
      <c r="A72" s="225"/>
      <c r="B72" s="225"/>
      <c r="C72" s="197" t="s">
        <v>96</v>
      </c>
      <c r="D72" s="76">
        <v>93700000</v>
      </c>
      <c r="E72" s="225" t="s">
        <v>626</v>
      </c>
      <c r="F72" s="225"/>
      <c r="G72" s="226">
        <f>SUM(D72:D75)</f>
        <v>110000000</v>
      </c>
      <c r="H72" s="225"/>
      <c r="I72" s="225"/>
      <c r="J72" s="225"/>
      <c r="K72" s="225"/>
      <c r="L72" s="225"/>
      <c r="M72" s="225"/>
      <c r="N72" s="225"/>
      <c r="O72" s="225"/>
      <c r="P72" s="225"/>
      <c r="Q72" s="225"/>
    </row>
    <row r="73" spans="1:17" x14ac:dyDescent="0.25">
      <c r="A73" s="225"/>
      <c r="B73" s="225"/>
      <c r="C73" s="197" t="s">
        <v>103</v>
      </c>
      <c r="D73" s="76">
        <v>6000000</v>
      </c>
      <c r="E73" s="225" t="s">
        <v>626</v>
      </c>
      <c r="F73" s="225"/>
      <c r="G73" s="225"/>
      <c r="H73" s="225"/>
      <c r="I73" s="225"/>
      <c r="J73" s="225"/>
      <c r="K73" s="225"/>
      <c r="L73" s="225"/>
      <c r="M73" s="225"/>
      <c r="N73" s="225"/>
      <c r="O73" s="225"/>
      <c r="P73" s="225"/>
      <c r="Q73" s="225"/>
    </row>
    <row r="74" spans="1:17" x14ac:dyDescent="0.25">
      <c r="A74" s="225"/>
      <c r="B74" s="225"/>
      <c r="C74" s="197" t="s">
        <v>106</v>
      </c>
      <c r="D74" s="76">
        <v>4000000</v>
      </c>
      <c r="E74" s="225" t="s">
        <v>626</v>
      </c>
      <c r="F74" s="225"/>
      <c r="G74" s="225"/>
      <c r="H74" s="225"/>
      <c r="I74" s="225"/>
      <c r="J74" s="225"/>
      <c r="K74" s="225"/>
      <c r="L74" s="225"/>
      <c r="M74" s="225"/>
      <c r="N74" s="225"/>
      <c r="O74" s="225"/>
      <c r="P74" s="225"/>
      <c r="Q74" s="225"/>
    </row>
    <row r="75" spans="1:17" x14ac:dyDescent="0.25">
      <c r="A75" s="225"/>
      <c r="B75" s="225"/>
      <c r="C75" s="244" t="s">
        <v>575</v>
      </c>
      <c r="D75" s="76">
        <v>6300000</v>
      </c>
      <c r="E75" s="225" t="s">
        <v>626</v>
      </c>
      <c r="F75" s="225"/>
      <c r="G75" s="225"/>
      <c r="H75" s="225"/>
      <c r="I75" s="225"/>
      <c r="J75" s="225"/>
      <c r="K75" s="225"/>
      <c r="L75" s="225"/>
      <c r="M75" s="225"/>
      <c r="N75" s="225"/>
      <c r="O75" s="225"/>
      <c r="P75" s="225"/>
      <c r="Q75" s="225"/>
    </row>
    <row r="76" spans="1:17" ht="30" x14ac:dyDescent="0.25">
      <c r="A76" s="225"/>
      <c r="B76" s="225"/>
      <c r="C76" s="244" t="s">
        <v>589</v>
      </c>
      <c r="D76" s="76">
        <v>4400000</v>
      </c>
      <c r="E76" s="225" t="s">
        <v>626</v>
      </c>
      <c r="F76" s="225"/>
      <c r="G76" s="226">
        <f>D76</f>
        <v>4400000</v>
      </c>
      <c r="H76" s="225"/>
      <c r="I76" s="225"/>
      <c r="J76" s="225"/>
      <c r="K76" s="225"/>
      <c r="L76" s="225"/>
      <c r="M76" s="225"/>
      <c r="N76" s="225"/>
      <c r="O76" s="225"/>
      <c r="P76" s="225"/>
      <c r="Q76" s="225"/>
    </row>
    <row r="77" spans="1:17" ht="30" x14ac:dyDescent="0.25">
      <c r="A77" s="225"/>
      <c r="B77" s="225"/>
      <c r="C77" s="244" t="s">
        <v>590</v>
      </c>
      <c r="D77" s="76">
        <v>3300000</v>
      </c>
      <c r="E77" s="225" t="s">
        <v>626</v>
      </c>
      <c r="F77" s="225"/>
      <c r="G77" s="226">
        <f>D77</f>
        <v>3300000</v>
      </c>
      <c r="H77" s="225"/>
      <c r="I77" s="225"/>
      <c r="J77" s="225"/>
      <c r="K77" s="225"/>
      <c r="L77" s="225"/>
      <c r="M77" s="225"/>
      <c r="N77" s="225"/>
      <c r="O77" s="225"/>
      <c r="P77" s="225"/>
      <c r="Q77" s="225"/>
    </row>
    <row r="78" spans="1:17" x14ac:dyDescent="0.25">
      <c r="A78" s="225"/>
      <c r="B78" s="225"/>
      <c r="C78" s="197" t="s">
        <v>598</v>
      </c>
      <c r="D78" s="76">
        <v>13727500</v>
      </c>
      <c r="E78" s="225" t="s">
        <v>625</v>
      </c>
      <c r="F78" s="225"/>
      <c r="G78" s="226">
        <f>D78</f>
        <v>13727500</v>
      </c>
      <c r="H78" s="225"/>
      <c r="I78" s="225"/>
      <c r="J78" s="225"/>
      <c r="K78" s="225"/>
      <c r="L78" s="225"/>
      <c r="M78" s="225"/>
      <c r="N78" s="225"/>
      <c r="O78" s="225"/>
      <c r="P78" s="225"/>
      <c r="Q78" s="225"/>
    </row>
    <row r="79" spans="1:17" x14ac:dyDescent="0.25">
      <c r="A79" s="225"/>
      <c r="B79" s="225"/>
      <c r="C79" s="225"/>
      <c r="D79" s="225"/>
      <c r="E79" s="225"/>
      <c r="F79" s="225"/>
      <c r="G79" s="225"/>
      <c r="H79" s="225"/>
      <c r="I79" s="225"/>
      <c r="J79" s="225"/>
      <c r="K79" s="225"/>
      <c r="L79" s="225"/>
      <c r="M79" s="225"/>
      <c r="N79" s="225"/>
      <c r="O79" s="225"/>
      <c r="P79" s="225"/>
      <c r="Q79" s="225"/>
    </row>
    <row r="80" spans="1:17" x14ac:dyDescent="0.25">
      <c r="A80" s="225"/>
      <c r="B80" s="225"/>
      <c r="C80" s="238" t="s">
        <v>573</v>
      </c>
      <c r="D80" s="238"/>
      <c r="E80" s="238"/>
      <c r="F80" s="225"/>
      <c r="G80" s="243">
        <f>SUM(G81:G89)</f>
        <v>177240250</v>
      </c>
      <c r="H80" s="225"/>
      <c r="I80" s="225"/>
      <c r="J80" s="225"/>
      <c r="K80" s="225"/>
      <c r="L80" s="225"/>
      <c r="M80" s="225"/>
      <c r="N80" s="225"/>
      <c r="O80" s="225"/>
      <c r="P80" s="225"/>
      <c r="Q80" s="225"/>
    </row>
    <row r="81" spans="1:17" ht="30" x14ac:dyDescent="0.25">
      <c r="A81" s="225"/>
      <c r="B81" s="225"/>
      <c r="C81" s="241" t="s">
        <v>612</v>
      </c>
      <c r="D81" s="76">
        <v>58800000</v>
      </c>
      <c r="E81" s="225" t="s">
        <v>616</v>
      </c>
      <c r="F81" s="225"/>
      <c r="G81" s="226">
        <f>SUM(D81:D83)</f>
        <v>62950000</v>
      </c>
      <c r="H81" s="225"/>
      <c r="I81" s="225"/>
      <c r="J81" s="225"/>
      <c r="K81" s="225"/>
      <c r="L81" s="225"/>
      <c r="M81" s="225"/>
      <c r="N81" s="225"/>
      <c r="O81" s="225"/>
      <c r="P81" s="225"/>
      <c r="Q81" s="225"/>
    </row>
    <row r="82" spans="1:17" x14ac:dyDescent="0.25">
      <c r="A82" s="225"/>
      <c r="B82" s="225"/>
      <c r="C82" s="227" t="s">
        <v>614</v>
      </c>
      <c r="D82" s="76">
        <v>2400000</v>
      </c>
      <c r="E82" s="225" t="s">
        <v>616</v>
      </c>
      <c r="F82" s="225"/>
      <c r="G82" s="225"/>
      <c r="H82" s="225"/>
      <c r="I82" s="225"/>
      <c r="J82" s="225"/>
      <c r="K82" s="225"/>
      <c r="L82" s="225"/>
      <c r="M82" s="225"/>
      <c r="N82" s="225"/>
      <c r="O82" s="225"/>
      <c r="P82" s="225"/>
      <c r="Q82" s="225"/>
    </row>
    <row r="83" spans="1:17" x14ac:dyDescent="0.25">
      <c r="A83" s="225"/>
      <c r="B83" s="225"/>
      <c r="C83" s="227" t="s">
        <v>615</v>
      </c>
      <c r="D83" s="76">
        <v>1750000</v>
      </c>
      <c r="E83" s="225" t="s">
        <v>616</v>
      </c>
      <c r="F83" s="225"/>
      <c r="G83" s="225"/>
      <c r="H83" s="225"/>
      <c r="I83" s="225"/>
      <c r="J83" s="225"/>
      <c r="K83" s="225"/>
      <c r="L83" s="225"/>
      <c r="M83" s="225"/>
      <c r="N83" s="225"/>
      <c r="O83" s="225"/>
      <c r="P83" s="225"/>
      <c r="Q83" s="225"/>
    </row>
    <row r="84" spans="1:17" ht="30" x14ac:dyDescent="0.25">
      <c r="A84" s="225"/>
      <c r="B84" s="225"/>
      <c r="C84" s="242" t="s">
        <v>622</v>
      </c>
      <c r="D84" s="76">
        <v>15000000</v>
      </c>
      <c r="E84" s="225" t="s">
        <v>623</v>
      </c>
      <c r="F84" s="225"/>
      <c r="G84" s="226">
        <f>D84</f>
        <v>15000000</v>
      </c>
      <c r="H84" s="225"/>
      <c r="I84" s="225"/>
      <c r="J84" s="225"/>
      <c r="K84" s="225"/>
      <c r="L84" s="225"/>
      <c r="M84" s="225"/>
      <c r="N84" s="225"/>
      <c r="O84" s="225"/>
      <c r="P84" s="225"/>
      <c r="Q84" s="225"/>
    </row>
    <row r="85" spans="1:17" ht="30" x14ac:dyDescent="0.25">
      <c r="A85" s="225"/>
      <c r="B85" s="225"/>
      <c r="C85" s="242" t="s">
        <v>617</v>
      </c>
      <c r="D85" s="76">
        <v>77800250</v>
      </c>
      <c r="E85" s="225" t="s">
        <v>616</v>
      </c>
      <c r="F85" s="225"/>
      <c r="G85" s="76">
        <f>SUM(D85:D88)</f>
        <v>93550250</v>
      </c>
      <c r="H85" s="225"/>
      <c r="I85" s="225"/>
      <c r="J85" s="225"/>
      <c r="K85" s="225"/>
      <c r="L85" s="225"/>
      <c r="M85" s="225"/>
      <c r="N85" s="225"/>
      <c r="O85" s="225"/>
      <c r="P85" s="225"/>
      <c r="Q85" s="225"/>
    </row>
    <row r="86" spans="1:17" x14ac:dyDescent="0.25">
      <c r="A86" s="225"/>
      <c r="B86" s="225"/>
      <c r="C86" s="237" t="s">
        <v>618</v>
      </c>
      <c r="D86" s="225"/>
      <c r="E86" s="225"/>
      <c r="F86" s="225"/>
      <c r="G86" s="76"/>
      <c r="H86" s="225"/>
      <c r="I86" s="225"/>
      <c r="J86" s="225"/>
      <c r="K86" s="225"/>
      <c r="L86" s="225"/>
      <c r="M86" s="225"/>
      <c r="N86" s="225"/>
      <c r="O86" s="225"/>
      <c r="P86" s="225"/>
      <c r="Q86" s="225"/>
    </row>
    <row r="87" spans="1:17" x14ac:dyDescent="0.25">
      <c r="A87" s="225"/>
      <c r="B87" s="225"/>
      <c r="C87" s="227"/>
      <c r="D87" s="76">
        <v>7875000</v>
      </c>
      <c r="E87" s="225" t="s">
        <v>619</v>
      </c>
      <c r="F87" s="225"/>
      <c r="G87" s="225"/>
      <c r="H87" s="225"/>
      <c r="I87" s="225"/>
      <c r="J87" s="225"/>
      <c r="K87" s="225"/>
      <c r="L87" s="225"/>
      <c r="M87" s="225"/>
      <c r="N87" s="225"/>
      <c r="O87" s="225"/>
      <c r="P87" s="225"/>
      <c r="Q87" s="225"/>
    </row>
    <row r="88" spans="1:17" x14ac:dyDescent="0.25">
      <c r="A88" s="225"/>
      <c r="B88" s="225"/>
      <c r="C88" s="227"/>
      <c r="D88" s="76">
        <v>7875000</v>
      </c>
      <c r="E88" s="225" t="s">
        <v>620</v>
      </c>
      <c r="F88" s="225"/>
      <c r="G88" s="225"/>
      <c r="H88" s="225"/>
      <c r="I88" s="225"/>
      <c r="J88" s="225"/>
      <c r="K88" s="225"/>
      <c r="L88" s="225"/>
      <c r="M88" s="225"/>
      <c r="N88" s="225"/>
      <c r="O88" s="225"/>
      <c r="P88" s="225"/>
      <c r="Q88" s="225"/>
    </row>
    <row r="89" spans="1:17" x14ac:dyDescent="0.25">
      <c r="A89" s="225"/>
      <c r="B89" s="225"/>
      <c r="C89" s="237" t="s">
        <v>611</v>
      </c>
      <c r="D89" s="76">
        <v>5740000</v>
      </c>
      <c r="E89" s="225" t="s">
        <v>624</v>
      </c>
      <c r="F89" s="225"/>
      <c r="G89" s="226">
        <f>D89</f>
        <v>5740000</v>
      </c>
      <c r="H89" s="225"/>
      <c r="I89" s="225"/>
      <c r="J89" s="225"/>
      <c r="K89" s="225"/>
      <c r="L89" s="225"/>
      <c r="M89" s="225"/>
      <c r="N89" s="225"/>
      <c r="O89" s="225"/>
      <c r="P89" s="225"/>
      <c r="Q89" s="225"/>
    </row>
    <row r="90" spans="1:17" x14ac:dyDescent="0.25">
      <c r="A90" s="225"/>
      <c r="B90" s="225"/>
      <c r="C90" s="237"/>
      <c r="D90" s="76"/>
      <c r="E90" s="225"/>
      <c r="F90" s="225"/>
      <c r="G90" s="226"/>
      <c r="H90" s="225"/>
      <c r="I90" s="225"/>
      <c r="J90" s="225"/>
      <c r="K90" s="225"/>
      <c r="L90" s="225"/>
      <c r="M90" s="225"/>
      <c r="N90" s="225"/>
      <c r="O90" s="225"/>
      <c r="P90" s="225"/>
      <c r="Q90" s="225"/>
    </row>
    <row r="91" spans="1:17" x14ac:dyDescent="0.25">
      <c r="A91" s="225"/>
      <c r="B91" s="225"/>
      <c r="C91" s="238" t="s">
        <v>574</v>
      </c>
      <c r="D91" s="238"/>
      <c r="E91" s="238"/>
      <c r="F91" s="239"/>
      <c r="G91" s="240">
        <f>SUM(G92:G97)</f>
        <v>812227250</v>
      </c>
      <c r="H91" s="225"/>
      <c r="I91" s="225"/>
      <c r="J91" s="225"/>
      <c r="K91" s="225"/>
      <c r="L91" s="225"/>
      <c r="M91" s="225"/>
      <c r="N91" s="225"/>
      <c r="O91" s="225"/>
      <c r="P91" s="225"/>
      <c r="Q91" s="225"/>
    </row>
    <row r="92" spans="1:17" x14ac:dyDescent="0.25">
      <c r="A92" s="225"/>
      <c r="B92" s="225"/>
      <c r="C92" s="237" t="s">
        <v>607</v>
      </c>
      <c r="D92" s="225"/>
      <c r="E92" s="225"/>
      <c r="G92" s="76">
        <f>SUM(D93:D95)</f>
        <v>787500000</v>
      </c>
      <c r="H92" s="225"/>
      <c r="I92" s="225"/>
      <c r="J92" s="225"/>
      <c r="K92" s="225"/>
      <c r="L92" s="225"/>
      <c r="M92" s="225"/>
      <c r="N92" s="225"/>
      <c r="O92" s="225"/>
      <c r="P92" s="225"/>
      <c r="Q92" s="225"/>
    </row>
    <row r="93" spans="1:17" x14ac:dyDescent="0.25">
      <c r="A93" s="225"/>
      <c r="B93" s="225"/>
      <c r="C93" s="227" t="s">
        <v>608</v>
      </c>
      <c r="D93" s="76">
        <v>313137800</v>
      </c>
      <c r="E93" s="225" t="s">
        <v>619</v>
      </c>
      <c r="F93" s="225"/>
      <c r="G93" s="225"/>
      <c r="H93" s="225"/>
      <c r="I93" s="228"/>
      <c r="J93" s="225"/>
      <c r="K93" s="226"/>
      <c r="L93" s="225"/>
      <c r="M93" s="225"/>
      <c r="N93" s="225"/>
      <c r="O93" s="225"/>
      <c r="P93" s="225"/>
      <c r="Q93" s="225"/>
    </row>
    <row r="94" spans="1:17" x14ac:dyDescent="0.25">
      <c r="A94" s="225"/>
      <c r="B94" s="225"/>
      <c r="C94" s="227" t="s">
        <v>609</v>
      </c>
      <c r="D94" s="76">
        <v>62807578</v>
      </c>
      <c r="E94" s="225" t="s">
        <v>620</v>
      </c>
      <c r="F94" s="225"/>
      <c r="G94" s="225"/>
      <c r="H94" s="225"/>
      <c r="I94" s="225"/>
      <c r="J94" s="225"/>
      <c r="K94" s="225"/>
      <c r="L94" s="225"/>
      <c r="M94" s="225"/>
      <c r="N94" s="225"/>
      <c r="O94" s="225"/>
      <c r="P94" s="225"/>
      <c r="Q94" s="225"/>
    </row>
    <row r="95" spans="1:17" x14ac:dyDescent="0.25">
      <c r="A95" s="225"/>
      <c r="B95" s="225"/>
      <c r="C95" s="225" t="s">
        <v>610</v>
      </c>
      <c r="D95" s="76">
        <v>411554622</v>
      </c>
      <c r="E95" s="225" t="s">
        <v>621</v>
      </c>
      <c r="F95" s="225"/>
      <c r="G95" s="225"/>
      <c r="H95" s="225"/>
      <c r="I95" s="225"/>
      <c r="J95" s="225"/>
      <c r="K95" s="225"/>
      <c r="L95" s="225"/>
      <c r="M95" s="225"/>
      <c r="N95" s="225"/>
      <c r="O95" s="225"/>
      <c r="P95" s="225"/>
      <c r="Q95" s="225"/>
    </row>
    <row r="96" spans="1:17" x14ac:dyDescent="0.25">
      <c r="A96" s="225"/>
      <c r="B96" s="225"/>
      <c r="C96" s="225"/>
      <c r="D96" s="225"/>
      <c r="E96" s="225"/>
      <c r="F96" s="225"/>
      <c r="G96" s="225"/>
      <c r="H96" s="225"/>
      <c r="I96" s="225"/>
      <c r="J96" s="225"/>
      <c r="K96" s="225"/>
      <c r="L96" s="225"/>
      <c r="M96" s="225"/>
      <c r="N96" s="225"/>
      <c r="O96" s="225"/>
      <c r="P96" s="225"/>
      <c r="Q96" s="225"/>
    </row>
    <row r="97" spans="1:17" x14ac:dyDescent="0.25">
      <c r="A97" s="225"/>
      <c r="B97" s="225"/>
      <c r="C97" s="237" t="s">
        <v>611</v>
      </c>
      <c r="D97" s="76">
        <v>24727250</v>
      </c>
      <c r="E97" s="225" t="s">
        <v>613</v>
      </c>
      <c r="F97" s="225"/>
      <c r="G97" s="226">
        <f>D97</f>
        <v>24727250</v>
      </c>
      <c r="H97" s="225"/>
      <c r="I97" s="225"/>
      <c r="J97" s="225"/>
      <c r="K97" s="225"/>
      <c r="L97" s="225"/>
      <c r="M97" s="225"/>
      <c r="N97" s="225"/>
      <c r="O97" s="225"/>
      <c r="P97" s="225"/>
      <c r="Q97" s="225"/>
    </row>
    <row r="98" spans="1:17" x14ac:dyDescent="0.25">
      <c r="A98" s="225"/>
      <c r="B98" s="225"/>
      <c r="C98" s="227"/>
      <c r="D98" s="76"/>
      <c r="E98" s="225"/>
      <c r="F98" s="225"/>
      <c r="G98" s="225"/>
      <c r="H98" s="225"/>
      <c r="I98" s="225"/>
      <c r="J98" s="225"/>
      <c r="K98" s="225"/>
      <c r="L98" s="225"/>
      <c r="M98" s="225"/>
      <c r="N98" s="225"/>
      <c r="O98" s="225"/>
      <c r="P98" s="225"/>
      <c r="Q98" s="225"/>
    </row>
    <row r="99" spans="1:17" x14ac:dyDescent="0.25">
      <c r="A99" s="225"/>
      <c r="B99" s="225"/>
      <c r="C99" s="227"/>
      <c r="D99" s="225"/>
      <c r="E99" s="225"/>
      <c r="F99" s="225"/>
      <c r="G99" s="225"/>
      <c r="H99" s="225"/>
      <c r="I99" s="225"/>
      <c r="J99" s="225"/>
      <c r="K99" s="225"/>
      <c r="L99" s="225"/>
      <c r="M99" s="225"/>
      <c r="N99" s="225"/>
      <c r="O99" s="225"/>
      <c r="P99" s="225"/>
      <c r="Q99" s="225"/>
    </row>
    <row r="100" spans="1:17" x14ac:dyDescent="0.25">
      <c r="A100" s="225"/>
      <c r="B100" s="225"/>
      <c r="C100" s="227"/>
      <c r="D100" s="225"/>
      <c r="E100" s="225"/>
      <c r="F100" s="225"/>
      <c r="G100" s="225"/>
      <c r="H100" s="225"/>
      <c r="I100" s="225"/>
      <c r="J100" s="225"/>
      <c r="K100" s="225"/>
      <c r="L100" s="225"/>
      <c r="M100" s="225"/>
      <c r="N100" s="225"/>
      <c r="O100" s="225"/>
      <c r="P100" s="225"/>
      <c r="Q100" s="225"/>
    </row>
    <row r="101" spans="1:17" x14ac:dyDescent="0.25">
      <c r="A101" s="225"/>
      <c r="B101" s="225"/>
      <c r="C101" s="227"/>
      <c r="D101" s="225"/>
      <c r="E101" s="225"/>
      <c r="F101" s="225"/>
      <c r="G101" s="225"/>
      <c r="H101" s="225"/>
      <c r="I101" s="225"/>
      <c r="J101" s="225"/>
      <c r="K101" s="225"/>
      <c r="L101" s="225"/>
      <c r="M101" s="225"/>
      <c r="N101" s="225"/>
      <c r="O101" s="225"/>
      <c r="P101" s="225"/>
      <c r="Q101" s="225"/>
    </row>
    <row r="102" spans="1:17" x14ac:dyDescent="0.25">
      <c r="A102" s="225"/>
      <c r="B102" s="225"/>
      <c r="C102" s="227"/>
      <c r="D102" s="225"/>
      <c r="E102" s="225"/>
      <c r="F102" s="225"/>
      <c r="G102" s="225"/>
      <c r="H102" s="225"/>
      <c r="I102" s="225"/>
      <c r="J102" s="225"/>
      <c r="K102" s="225"/>
      <c r="L102" s="225"/>
      <c r="M102" s="225"/>
      <c r="N102" s="225"/>
      <c r="O102" s="225"/>
      <c r="P102" s="225"/>
      <c r="Q102" s="225"/>
    </row>
    <row r="103" spans="1:17" x14ac:dyDescent="0.25">
      <c r="A103" s="225"/>
      <c r="B103" s="225"/>
      <c r="C103" s="227"/>
      <c r="D103" s="225"/>
      <c r="E103" s="225"/>
      <c r="F103" s="225"/>
      <c r="G103" s="225"/>
      <c r="H103" s="225"/>
      <c r="I103" s="225"/>
      <c r="J103" s="225"/>
      <c r="K103" s="225"/>
      <c r="L103" s="225"/>
      <c r="M103" s="225"/>
      <c r="N103" s="225"/>
      <c r="O103" s="225"/>
      <c r="P103" s="225"/>
      <c r="Q103" s="225"/>
    </row>
    <row r="104" spans="1:17" x14ac:dyDescent="0.25">
      <c r="A104" s="225"/>
      <c r="B104" s="225"/>
      <c r="C104" s="227"/>
      <c r="D104" s="225"/>
      <c r="E104" s="225"/>
      <c r="F104" s="225"/>
      <c r="G104" s="225"/>
      <c r="H104" s="225"/>
      <c r="I104" s="225"/>
      <c r="J104" s="225"/>
      <c r="K104" s="225"/>
      <c r="L104" s="225"/>
      <c r="M104" s="225"/>
      <c r="N104" s="225"/>
      <c r="O104" s="225"/>
      <c r="P104" s="225"/>
      <c r="Q104" s="225"/>
    </row>
    <row r="105" spans="1:17" x14ac:dyDescent="0.25">
      <c r="A105" s="225"/>
      <c r="B105" s="225"/>
      <c r="C105" s="227"/>
      <c r="D105" s="225"/>
      <c r="E105" s="226"/>
      <c r="F105" s="225"/>
      <c r="G105" s="225"/>
      <c r="H105" s="225"/>
      <c r="I105" s="225"/>
      <c r="J105" s="225"/>
      <c r="K105" s="225"/>
      <c r="L105" s="225"/>
      <c r="M105" s="225"/>
      <c r="N105" s="225"/>
      <c r="O105" s="225"/>
      <c r="P105" s="225"/>
      <c r="Q105" s="225"/>
    </row>
    <row r="106" spans="1:17" x14ac:dyDescent="0.25">
      <c r="A106" s="225"/>
      <c r="B106" s="225"/>
      <c r="C106" s="227"/>
      <c r="D106" s="225"/>
      <c r="E106" s="225"/>
      <c r="F106" s="225"/>
      <c r="G106" s="225"/>
      <c r="H106" s="225"/>
      <c r="I106" s="225"/>
      <c r="J106" s="225"/>
      <c r="K106" s="225"/>
      <c r="L106" s="225"/>
      <c r="M106" s="225"/>
      <c r="N106" s="225"/>
      <c r="O106" s="225"/>
      <c r="P106" s="225"/>
      <c r="Q106" s="225"/>
    </row>
    <row r="107" spans="1:17" x14ac:dyDescent="0.25">
      <c r="A107" s="225"/>
      <c r="B107" s="225"/>
      <c r="C107" s="227"/>
      <c r="D107" s="225"/>
      <c r="E107" s="225"/>
      <c r="F107" s="225"/>
      <c r="G107" s="225"/>
      <c r="H107" s="225"/>
      <c r="I107" s="225"/>
      <c r="J107" s="225"/>
      <c r="K107" s="225"/>
      <c r="L107" s="225"/>
      <c r="M107" s="225"/>
      <c r="N107" s="225"/>
      <c r="O107" s="225"/>
      <c r="P107" s="225"/>
      <c r="Q107" s="225"/>
    </row>
    <row r="108" spans="1:17" x14ac:dyDescent="0.25">
      <c r="A108" s="225"/>
      <c r="B108" s="225"/>
      <c r="C108" s="227"/>
      <c r="D108" s="225"/>
      <c r="E108" s="225"/>
      <c r="F108" s="225"/>
      <c r="G108" s="225"/>
      <c r="H108" s="225"/>
      <c r="I108" s="225"/>
      <c r="J108" s="225"/>
      <c r="K108" s="225"/>
      <c r="L108" s="225"/>
      <c r="M108" s="225"/>
      <c r="N108" s="225"/>
      <c r="O108" s="225"/>
      <c r="P108" s="225"/>
      <c r="Q108" s="225"/>
    </row>
    <row r="109" spans="1:17" x14ac:dyDescent="0.25">
      <c r="A109" s="225"/>
      <c r="B109" s="225"/>
      <c r="C109" s="227"/>
      <c r="D109" s="225"/>
      <c r="E109" s="225"/>
      <c r="F109" s="225"/>
      <c r="G109" s="225"/>
      <c r="H109" s="225"/>
      <c r="I109" s="225"/>
      <c r="J109" s="225"/>
      <c r="K109" s="225"/>
      <c r="L109" s="225"/>
      <c r="M109" s="225"/>
      <c r="N109" s="226"/>
      <c r="O109" s="226"/>
      <c r="P109" s="225"/>
      <c r="Q109" s="225"/>
    </row>
    <row r="110" spans="1:17" x14ac:dyDescent="0.25">
      <c r="A110" s="225"/>
      <c r="B110" s="225"/>
      <c r="C110" s="227"/>
      <c r="D110" s="225"/>
      <c r="E110" s="225"/>
      <c r="F110" s="225"/>
      <c r="G110" s="225"/>
      <c r="H110" s="225"/>
      <c r="I110" s="225"/>
      <c r="J110" s="225"/>
      <c r="K110" s="225"/>
      <c r="L110" s="225"/>
      <c r="M110" s="225"/>
      <c r="N110" s="233"/>
      <c r="O110" s="226"/>
      <c r="P110" s="225"/>
      <c r="Q110" s="225"/>
    </row>
    <row r="111" spans="1:17" x14ac:dyDescent="0.25">
      <c r="A111" s="225"/>
      <c r="B111" s="225"/>
      <c r="C111" s="227"/>
      <c r="D111" s="225"/>
      <c r="E111" s="225"/>
      <c r="F111" s="225"/>
      <c r="G111" s="225"/>
      <c r="H111" s="225"/>
      <c r="I111" s="225"/>
      <c r="J111" s="225"/>
      <c r="K111" s="225"/>
      <c r="L111" s="225"/>
      <c r="M111" s="225"/>
      <c r="N111" s="225"/>
      <c r="O111" s="225"/>
      <c r="P111" s="225"/>
      <c r="Q111" s="225"/>
    </row>
    <row r="112" spans="1:17" x14ac:dyDescent="0.25">
      <c r="A112" s="225"/>
      <c r="B112" s="225"/>
      <c r="C112" s="227"/>
      <c r="D112" s="225"/>
      <c r="E112" s="225"/>
      <c r="F112" s="225"/>
      <c r="G112" s="225"/>
      <c r="H112" s="225"/>
      <c r="I112" s="225"/>
      <c r="J112" s="225"/>
      <c r="K112" s="225"/>
      <c r="L112" s="225"/>
      <c r="M112" s="225"/>
      <c r="N112" s="225"/>
      <c r="O112" s="225"/>
      <c r="P112" s="225"/>
      <c r="Q112" s="225"/>
    </row>
    <row r="113" spans="1:17" x14ac:dyDescent="0.25">
      <c r="A113" s="225"/>
      <c r="B113" s="225"/>
      <c r="C113" s="227"/>
      <c r="D113" s="225"/>
      <c r="E113" s="225"/>
      <c r="F113" s="225"/>
      <c r="G113" s="225"/>
      <c r="H113" s="225"/>
      <c r="I113" s="225"/>
      <c r="J113" s="225"/>
      <c r="K113" s="225"/>
      <c r="L113" s="225"/>
      <c r="M113" s="225"/>
      <c r="N113" s="225"/>
      <c r="O113" s="225"/>
      <c r="P113" s="225"/>
      <c r="Q113" s="225"/>
    </row>
    <row r="114" spans="1:17" x14ac:dyDescent="0.25">
      <c r="A114" s="225"/>
      <c r="B114" s="225"/>
      <c r="C114" s="227"/>
      <c r="D114" s="225"/>
      <c r="E114" s="225"/>
      <c r="F114" s="225"/>
      <c r="G114" s="225"/>
      <c r="H114" s="225"/>
      <c r="I114" s="225"/>
      <c r="J114" s="225"/>
      <c r="K114" s="225"/>
      <c r="L114" s="225"/>
      <c r="M114" s="225"/>
      <c r="N114" s="225"/>
      <c r="O114" s="225"/>
      <c r="P114" s="225"/>
      <c r="Q114" s="225"/>
    </row>
    <row r="115" spans="1:17" x14ac:dyDescent="0.25">
      <c r="A115" s="225"/>
      <c r="B115" s="225"/>
      <c r="C115" s="227"/>
      <c r="D115" s="225"/>
      <c r="E115" s="225"/>
      <c r="F115" s="225"/>
      <c r="G115" s="225"/>
      <c r="H115" s="225"/>
      <c r="I115" s="225"/>
      <c r="J115" s="225"/>
      <c r="K115" s="225"/>
      <c r="L115" s="225"/>
      <c r="M115" s="225"/>
      <c r="N115" s="229"/>
      <c r="O115" s="225"/>
      <c r="P115" s="225"/>
      <c r="Q115" s="225"/>
    </row>
    <row r="116" spans="1:17" x14ac:dyDescent="0.25">
      <c r="A116" s="225"/>
      <c r="B116" s="225"/>
      <c r="C116" s="227"/>
      <c r="D116" s="225"/>
      <c r="E116" s="225"/>
      <c r="F116" s="225"/>
      <c r="G116" s="225"/>
      <c r="H116" s="225"/>
      <c r="I116" s="225"/>
      <c r="J116" s="225"/>
      <c r="K116" s="225"/>
      <c r="L116" s="225"/>
      <c r="M116" s="225"/>
      <c r="N116" s="229"/>
      <c r="O116" s="225"/>
      <c r="P116" s="225"/>
      <c r="Q116" s="225"/>
    </row>
    <row r="117" spans="1:17" x14ac:dyDescent="0.25">
      <c r="A117" s="225"/>
      <c r="B117" s="225"/>
      <c r="C117" s="227"/>
      <c r="D117" s="225"/>
      <c r="E117" s="225"/>
      <c r="F117" s="225"/>
      <c r="G117" s="225"/>
      <c r="H117" s="225"/>
      <c r="I117" s="225"/>
      <c r="J117" s="225"/>
      <c r="K117" s="225"/>
      <c r="L117" s="225"/>
      <c r="M117" s="225"/>
      <c r="N117" s="229"/>
      <c r="O117" s="225"/>
      <c r="P117" s="225"/>
      <c r="Q117" s="225"/>
    </row>
    <row r="118" spans="1:17" x14ac:dyDescent="0.25">
      <c r="A118" s="225"/>
      <c r="B118" s="225"/>
      <c r="C118" s="227"/>
      <c r="D118" s="230"/>
      <c r="E118" s="230"/>
      <c r="F118" s="225"/>
      <c r="G118" s="225"/>
      <c r="H118" s="225"/>
      <c r="I118" s="225"/>
      <c r="J118" s="225"/>
      <c r="K118" s="225"/>
      <c r="L118" s="225"/>
      <c r="M118" s="225"/>
      <c r="N118" s="225"/>
      <c r="O118" s="225"/>
      <c r="P118" s="225"/>
      <c r="Q118" s="225"/>
    </row>
    <row r="119" spans="1:17" x14ac:dyDescent="0.25">
      <c r="A119" s="225"/>
      <c r="B119" s="225"/>
      <c r="C119" s="227"/>
      <c r="D119" s="230"/>
      <c r="E119" s="230"/>
      <c r="F119" s="225"/>
      <c r="G119" s="225"/>
      <c r="H119" s="225"/>
      <c r="I119" s="225"/>
      <c r="J119" s="225"/>
      <c r="K119" s="225"/>
      <c r="L119" s="225"/>
      <c r="M119" s="225"/>
      <c r="N119" s="225"/>
      <c r="O119" s="225"/>
      <c r="P119" s="225"/>
      <c r="Q119" s="225"/>
    </row>
    <row r="120" spans="1:17" x14ac:dyDescent="0.25">
      <c r="A120" s="225"/>
      <c r="B120" s="225"/>
      <c r="C120" s="227"/>
      <c r="D120" s="225"/>
      <c r="E120" s="225"/>
      <c r="F120" s="225"/>
      <c r="G120" s="230"/>
      <c r="H120" s="230"/>
      <c r="I120" s="230"/>
      <c r="J120" s="230"/>
      <c r="K120" s="225"/>
      <c r="L120" s="225"/>
      <c r="M120" s="225"/>
      <c r="N120" s="229"/>
      <c r="O120" s="225"/>
      <c r="P120" s="225"/>
      <c r="Q120" s="225"/>
    </row>
    <row r="121" spans="1:17" x14ac:dyDescent="0.25">
      <c r="A121" s="225"/>
      <c r="B121" s="225"/>
      <c r="C121" s="227"/>
      <c r="D121" s="225"/>
      <c r="E121" s="225"/>
      <c r="F121" s="225"/>
      <c r="G121" s="230"/>
      <c r="H121" s="230"/>
      <c r="I121" s="230"/>
      <c r="J121" s="230"/>
      <c r="K121" s="225"/>
      <c r="L121" s="225"/>
      <c r="M121" s="225"/>
      <c r="N121" s="225"/>
      <c r="O121" s="225"/>
      <c r="P121" s="225"/>
      <c r="Q121" s="225"/>
    </row>
    <row r="122" spans="1:17" x14ac:dyDescent="0.25">
      <c r="A122" s="225"/>
      <c r="B122" s="225"/>
      <c r="C122" s="227"/>
      <c r="D122" s="225"/>
      <c r="E122" s="225"/>
      <c r="F122" s="225"/>
      <c r="G122" s="225"/>
      <c r="H122" s="225"/>
      <c r="I122" s="225"/>
      <c r="J122" s="225"/>
      <c r="K122" s="225"/>
      <c r="L122" s="225"/>
      <c r="M122" s="225"/>
      <c r="N122" s="225"/>
      <c r="O122" s="225"/>
      <c r="P122" s="225"/>
      <c r="Q122" s="225"/>
    </row>
    <row r="123" spans="1:17" x14ac:dyDescent="0.25">
      <c r="A123" s="225"/>
      <c r="B123" s="225"/>
      <c r="C123" s="227"/>
      <c r="D123" s="230"/>
      <c r="E123" s="230"/>
      <c r="F123" s="225"/>
      <c r="G123" s="225"/>
      <c r="H123" s="225"/>
      <c r="I123" s="225"/>
      <c r="J123" s="225"/>
      <c r="K123" s="225"/>
      <c r="L123" s="225"/>
      <c r="M123" s="225"/>
      <c r="N123" s="225"/>
      <c r="O123" s="225"/>
      <c r="P123" s="225"/>
      <c r="Q123" s="225"/>
    </row>
    <row r="124" spans="1:17" x14ac:dyDescent="0.25">
      <c r="A124" s="225"/>
      <c r="B124" s="225"/>
      <c r="C124" s="227"/>
      <c r="D124" s="225"/>
      <c r="E124" s="225"/>
      <c r="F124" s="225"/>
      <c r="G124" s="225"/>
      <c r="H124" s="225"/>
      <c r="I124" s="225"/>
      <c r="J124" s="225"/>
      <c r="K124" s="225"/>
      <c r="L124" s="225"/>
      <c r="M124" s="225"/>
      <c r="N124" s="225"/>
      <c r="O124" s="225"/>
      <c r="P124" s="225"/>
      <c r="Q124" s="225"/>
    </row>
    <row r="125" spans="1:17" x14ac:dyDescent="0.25">
      <c r="A125" s="225"/>
      <c r="B125" s="225"/>
      <c r="C125" s="227"/>
      <c r="D125" s="225"/>
      <c r="E125" s="225"/>
      <c r="F125" s="225"/>
      <c r="G125" s="225"/>
      <c r="H125" s="225"/>
      <c r="I125" s="225"/>
      <c r="J125" s="225"/>
      <c r="K125" s="225"/>
      <c r="L125" s="225"/>
      <c r="M125" s="225"/>
      <c r="N125" s="225"/>
      <c r="O125" s="225"/>
      <c r="P125" s="225"/>
      <c r="Q125" s="225"/>
    </row>
    <row r="126" spans="1:17" x14ac:dyDescent="0.25">
      <c r="A126" s="225"/>
      <c r="B126" s="225"/>
      <c r="C126" s="227"/>
      <c r="D126" s="230"/>
      <c r="E126" s="230"/>
      <c r="F126" s="225"/>
      <c r="G126" s="225"/>
      <c r="H126" s="225"/>
      <c r="I126" s="225"/>
      <c r="J126" s="225"/>
      <c r="K126" s="225"/>
      <c r="L126" s="225"/>
      <c r="M126" s="225"/>
      <c r="N126" s="225"/>
      <c r="O126" s="225"/>
      <c r="P126" s="225"/>
      <c r="Q126" s="225"/>
    </row>
    <row r="127" spans="1:17" x14ac:dyDescent="0.25">
      <c r="A127" s="225"/>
      <c r="B127" s="225"/>
      <c r="C127" s="227"/>
      <c r="D127" s="225"/>
      <c r="E127" s="225"/>
      <c r="F127" s="225"/>
      <c r="G127" s="225"/>
      <c r="H127" s="225"/>
      <c r="I127" s="225"/>
      <c r="J127" s="225"/>
      <c r="K127" s="225"/>
      <c r="L127" s="225"/>
      <c r="M127" s="225"/>
      <c r="N127" s="225"/>
      <c r="O127" s="231"/>
      <c r="P127" s="225"/>
      <c r="Q127" s="225"/>
    </row>
    <row r="128" spans="1:17" x14ac:dyDescent="0.25">
      <c r="A128" s="225"/>
      <c r="B128" s="225"/>
      <c r="C128" s="227"/>
      <c r="D128" s="225"/>
      <c r="E128" s="225"/>
      <c r="F128" s="225"/>
      <c r="G128" s="225"/>
      <c r="H128" s="225"/>
      <c r="I128" s="225"/>
      <c r="J128" s="225"/>
      <c r="K128" s="225"/>
      <c r="L128" s="225"/>
      <c r="M128" s="225"/>
      <c r="N128" s="225"/>
      <c r="O128" s="225"/>
      <c r="P128" s="225"/>
      <c r="Q128" s="225"/>
    </row>
    <row r="129" spans="1:17" x14ac:dyDescent="0.25">
      <c r="A129" s="225"/>
      <c r="B129" s="225"/>
      <c r="C129" s="227"/>
      <c r="D129" s="225"/>
      <c r="E129" s="225"/>
      <c r="F129" s="225"/>
      <c r="G129" s="225"/>
      <c r="H129" s="225"/>
      <c r="I129" s="225"/>
      <c r="J129" s="225"/>
      <c r="K129" s="225"/>
      <c r="L129" s="225"/>
      <c r="M129" s="225"/>
      <c r="N129" s="225"/>
      <c r="O129" s="225"/>
      <c r="P129" s="225"/>
      <c r="Q129" s="225"/>
    </row>
    <row r="130" spans="1:17" x14ac:dyDescent="0.25">
      <c r="A130" s="225"/>
      <c r="B130" s="225"/>
      <c r="C130" s="227"/>
      <c r="D130" s="225"/>
      <c r="E130" s="225"/>
      <c r="F130" s="225"/>
      <c r="G130" s="225"/>
      <c r="H130" s="225"/>
      <c r="I130" s="225"/>
      <c r="J130" s="225"/>
      <c r="K130" s="225"/>
      <c r="L130" s="225"/>
      <c r="M130" s="225"/>
      <c r="N130" s="225"/>
      <c r="O130" s="225"/>
      <c r="P130" s="225"/>
      <c r="Q130" s="225"/>
    </row>
    <row r="131" spans="1:17" x14ac:dyDescent="0.25">
      <c r="A131" s="225"/>
      <c r="B131" s="225"/>
      <c r="C131" s="227"/>
      <c r="D131" s="230"/>
      <c r="E131" s="230"/>
      <c r="F131" s="225"/>
      <c r="G131" s="225"/>
      <c r="H131" s="226"/>
      <c r="I131" s="226"/>
      <c r="J131" s="225"/>
      <c r="K131" s="225"/>
      <c r="L131" s="225"/>
      <c r="M131" s="225"/>
      <c r="N131" s="225"/>
      <c r="O131" s="225"/>
      <c r="P131" s="225"/>
      <c r="Q131" s="225"/>
    </row>
    <row r="132" spans="1:17" x14ac:dyDescent="0.25">
      <c r="A132" s="225"/>
      <c r="B132" s="225"/>
      <c r="C132" s="227"/>
      <c r="D132" s="225"/>
      <c r="E132" s="225"/>
      <c r="F132" s="225"/>
      <c r="G132" s="232"/>
      <c r="H132" s="225"/>
      <c r="I132" s="225"/>
      <c r="J132" s="225"/>
      <c r="K132" s="225"/>
      <c r="L132" s="225"/>
      <c r="M132" s="225"/>
      <c r="N132" s="225"/>
      <c r="O132" s="225"/>
      <c r="P132" s="225"/>
      <c r="Q132" s="225"/>
    </row>
    <row r="133" spans="1:17" x14ac:dyDescent="0.25">
      <c r="A133" s="225"/>
      <c r="B133" s="225"/>
      <c r="C133" s="227"/>
      <c r="D133" s="225"/>
      <c r="E133" s="225"/>
      <c r="F133" s="225"/>
      <c r="G133" s="225"/>
      <c r="H133" s="225"/>
      <c r="I133" s="225"/>
      <c r="J133" s="225"/>
      <c r="K133" s="225"/>
      <c r="L133" s="225"/>
      <c r="M133" s="225"/>
      <c r="N133" s="225"/>
      <c r="O133" s="225"/>
      <c r="P133" s="225"/>
      <c r="Q133" s="225"/>
    </row>
    <row r="134" spans="1:17" x14ac:dyDescent="0.25">
      <c r="A134" s="225"/>
      <c r="B134" s="225"/>
      <c r="C134" s="227"/>
      <c r="D134" s="225"/>
      <c r="E134" s="225"/>
      <c r="F134" s="225"/>
      <c r="G134" s="225"/>
      <c r="H134" s="225"/>
      <c r="I134" s="225"/>
      <c r="J134" s="225"/>
      <c r="K134" s="225"/>
      <c r="L134" s="225"/>
      <c r="M134" s="225"/>
      <c r="N134" s="225"/>
      <c r="O134" s="225"/>
      <c r="P134" s="225"/>
      <c r="Q134" s="225"/>
    </row>
    <row r="135" spans="1:17" x14ac:dyDescent="0.25">
      <c r="A135" s="225"/>
      <c r="B135" s="225"/>
      <c r="C135" s="227"/>
      <c r="D135" s="225"/>
      <c r="E135" s="225"/>
      <c r="F135" s="225"/>
      <c r="G135" s="225"/>
      <c r="H135" s="225"/>
      <c r="I135" s="225"/>
      <c r="J135" s="225"/>
      <c r="K135" s="225"/>
      <c r="L135" s="225"/>
      <c r="M135" s="225"/>
      <c r="N135" s="225"/>
      <c r="O135" s="225"/>
      <c r="P135" s="225"/>
      <c r="Q135" s="225"/>
    </row>
    <row r="136" spans="1:17" x14ac:dyDescent="0.25">
      <c r="A136" s="225"/>
      <c r="B136" s="225"/>
      <c r="C136" s="227"/>
      <c r="D136" s="225"/>
      <c r="E136" s="225"/>
      <c r="F136" s="225"/>
      <c r="G136" s="225"/>
      <c r="H136" s="231"/>
      <c r="I136" s="231"/>
      <c r="J136" s="225"/>
      <c r="K136" s="225"/>
      <c r="L136" s="225"/>
      <c r="M136" s="225"/>
      <c r="N136" s="225"/>
      <c r="O136" s="225"/>
      <c r="P136" s="225"/>
      <c r="Q136" s="225"/>
    </row>
    <row r="137" spans="1:17" x14ac:dyDescent="0.25">
      <c r="A137" s="225"/>
      <c r="B137" s="225"/>
      <c r="C137" s="227"/>
      <c r="D137" s="225"/>
      <c r="E137" s="225"/>
      <c r="F137" s="225"/>
      <c r="G137" s="225"/>
      <c r="H137" s="231"/>
      <c r="I137" s="231"/>
      <c r="J137" s="225"/>
      <c r="K137" s="225"/>
      <c r="L137" s="225"/>
      <c r="M137" s="225"/>
      <c r="N137" s="225"/>
      <c r="O137" s="225"/>
      <c r="P137" s="225"/>
      <c r="Q137" s="225"/>
    </row>
    <row r="138" spans="1:17" x14ac:dyDescent="0.25">
      <c r="A138" s="225"/>
      <c r="B138" s="225"/>
      <c r="C138" s="227"/>
      <c r="D138" s="225"/>
      <c r="E138" s="225"/>
      <c r="F138" s="225"/>
      <c r="G138" s="225"/>
      <c r="H138" s="231"/>
      <c r="I138" s="231"/>
      <c r="J138" s="225"/>
      <c r="K138" s="225"/>
      <c r="L138" s="225"/>
      <c r="M138" s="225"/>
      <c r="N138" s="225"/>
      <c r="O138" s="225"/>
      <c r="P138" s="225"/>
      <c r="Q138" s="225"/>
    </row>
    <row r="139" spans="1:17" x14ac:dyDescent="0.25">
      <c r="A139" s="225"/>
      <c r="B139" s="225"/>
      <c r="C139" s="227"/>
      <c r="D139" s="225"/>
      <c r="E139" s="225"/>
      <c r="F139" s="225"/>
      <c r="G139" s="222"/>
      <c r="H139" s="231"/>
      <c r="I139" s="231"/>
      <c r="J139" s="225"/>
      <c r="K139" s="225"/>
      <c r="L139" s="225"/>
      <c r="M139" s="225"/>
      <c r="N139" s="225"/>
      <c r="O139" s="225"/>
      <c r="P139" s="225"/>
      <c r="Q139" s="225"/>
    </row>
    <row r="140" spans="1:17" x14ac:dyDescent="0.25">
      <c r="A140" s="225"/>
      <c r="B140" s="225"/>
      <c r="C140" s="227"/>
      <c r="D140" s="225"/>
      <c r="E140" s="225"/>
      <c r="F140" s="225"/>
      <c r="G140" s="225"/>
      <c r="H140" s="225"/>
      <c r="I140" s="225"/>
      <c r="J140" s="225"/>
      <c r="K140" s="225"/>
      <c r="L140" s="225"/>
      <c r="M140" s="225"/>
      <c r="N140" s="225"/>
      <c r="O140" s="225"/>
      <c r="P140" s="225"/>
      <c r="Q140" s="225"/>
    </row>
    <row r="141" spans="1:17" x14ac:dyDescent="0.25">
      <c r="A141" s="225"/>
      <c r="B141" s="225"/>
      <c r="C141" s="227"/>
      <c r="D141" s="225"/>
      <c r="E141" s="225"/>
      <c r="F141" s="225"/>
      <c r="G141" s="225"/>
      <c r="H141" s="225"/>
      <c r="I141" s="225"/>
      <c r="J141" s="225"/>
      <c r="K141" s="225"/>
      <c r="L141" s="225"/>
      <c r="M141" s="225"/>
      <c r="N141" s="225"/>
      <c r="O141" s="225"/>
      <c r="P141" s="225"/>
      <c r="Q141" s="225"/>
    </row>
    <row r="142" spans="1:17" x14ac:dyDescent="0.25">
      <c r="A142" s="225"/>
      <c r="B142" s="225"/>
      <c r="C142" s="227"/>
      <c r="D142" s="225"/>
      <c r="E142" s="225"/>
      <c r="F142" s="225"/>
      <c r="G142" s="225"/>
      <c r="H142" s="225"/>
      <c r="I142" s="225"/>
      <c r="J142" s="225"/>
      <c r="K142" s="225"/>
      <c r="L142" s="225"/>
      <c r="M142" s="225"/>
      <c r="N142" s="225"/>
      <c r="O142" s="225"/>
      <c r="P142" s="225"/>
      <c r="Q142" s="225"/>
    </row>
    <row r="143" spans="1:17" x14ac:dyDescent="0.25">
      <c r="A143" s="225"/>
      <c r="B143" s="225"/>
      <c r="C143" s="227"/>
      <c r="D143" s="225"/>
      <c r="E143" s="225"/>
      <c r="F143" s="225"/>
      <c r="G143" s="225"/>
      <c r="H143" s="225"/>
      <c r="I143" s="225"/>
      <c r="J143" s="225"/>
      <c r="K143" s="225"/>
      <c r="L143" s="225"/>
      <c r="M143" s="225"/>
      <c r="N143" s="225"/>
      <c r="O143" s="225"/>
      <c r="P143" s="225"/>
      <c r="Q143" s="225"/>
    </row>
    <row r="144" spans="1:17" x14ac:dyDescent="0.25">
      <c r="A144" s="225"/>
      <c r="B144" s="225"/>
      <c r="C144" s="227"/>
      <c r="D144" s="225"/>
      <c r="E144" s="225"/>
      <c r="F144" s="225"/>
      <c r="G144" s="225"/>
      <c r="H144" s="225"/>
      <c r="I144" s="225"/>
      <c r="J144" s="225"/>
      <c r="K144" s="225"/>
      <c r="L144" s="225"/>
      <c r="M144" s="225"/>
      <c r="N144" s="225"/>
      <c r="O144" s="225"/>
      <c r="P144" s="225"/>
      <c r="Q144" s="225"/>
    </row>
    <row r="145" spans="1:17" x14ac:dyDescent="0.25">
      <c r="A145" s="225"/>
      <c r="B145" s="225"/>
      <c r="C145" s="227"/>
      <c r="D145" s="225"/>
      <c r="E145" s="225"/>
      <c r="F145" s="225"/>
      <c r="G145" s="225"/>
      <c r="H145" s="225"/>
      <c r="I145" s="225"/>
      <c r="J145" s="225"/>
      <c r="K145" s="225"/>
      <c r="L145" s="225"/>
      <c r="M145" s="225"/>
      <c r="N145" s="225"/>
      <c r="O145" s="225"/>
      <c r="P145" s="225"/>
      <c r="Q145" s="225"/>
    </row>
    <row r="146" spans="1:17" x14ac:dyDescent="0.25">
      <c r="A146" s="225"/>
      <c r="B146" s="225"/>
      <c r="C146" s="227"/>
      <c r="D146" s="225"/>
      <c r="E146" s="225"/>
      <c r="F146" s="225"/>
      <c r="G146" s="225"/>
      <c r="H146" s="225"/>
      <c r="I146" s="225"/>
      <c r="J146" s="225"/>
      <c r="K146" s="225"/>
      <c r="L146" s="225"/>
      <c r="M146" s="225"/>
      <c r="N146" s="225"/>
      <c r="O146" s="225"/>
      <c r="P146" s="225"/>
      <c r="Q146" s="225"/>
    </row>
    <row r="147" spans="1:17" x14ac:dyDescent="0.25">
      <c r="A147" s="225"/>
      <c r="B147" s="225"/>
      <c r="C147" s="227"/>
      <c r="D147" s="225"/>
      <c r="E147" s="225"/>
      <c r="F147" s="225"/>
      <c r="G147" s="225"/>
      <c r="H147" s="225"/>
      <c r="I147" s="225"/>
      <c r="J147" s="225"/>
      <c r="K147" s="225"/>
      <c r="L147" s="225"/>
      <c r="M147" s="225"/>
      <c r="N147" s="225"/>
      <c r="O147" s="225"/>
      <c r="P147" s="225"/>
      <c r="Q147" s="225"/>
    </row>
    <row r="148" spans="1:17" x14ac:dyDescent="0.25">
      <c r="A148" s="225"/>
      <c r="B148" s="225"/>
      <c r="C148" s="227"/>
      <c r="D148" s="225"/>
      <c r="E148" s="225"/>
      <c r="F148" s="225"/>
      <c r="G148" s="225"/>
      <c r="H148" s="225"/>
      <c r="I148" s="225"/>
      <c r="J148" s="225"/>
      <c r="K148" s="225"/>
      <c r="L148" s="225"/>
      <c r="M148" s="225"/>
      <c r="N148" s="225"/>
      <c r="O148" s="225"/>
      <c r="P148" s="225"/>
      <c r="Q148" s="225"/>
    </row>
    <row r="149" spans="1:17" x14ac:dyDescent="0.25">
      <c r="A149" s="225"/>
      <c r="B149" s="225"/>
      <c r="C149" s="227"/>
      <c r="D149" s="225"/>
      <c r="E149" s="225"/>
      <c r="F149" s="225"/>
      <c r="G149" s="225"/>
      <c r="H149" s="225"/>
      <c r="I149" s="225"/>
      <c r="J149" s="225"/>
      <c r="K149" s="225"/>
      <c r="L149" s="225"/>
      <c r="M149" s="225"/>
      <c r="N149" s="225"/>
      <c r="O149" s="225"/>
      <c r="P149" s="225"/>
      <c r="Q149" s="225"/>
    </row>
    <row r="150" spans="1:17" x14ac:dyDescent="0.25">
      <c r="A150" s="225"/>
      <c r="B150" s="225"/>
      <c r="C150" s="227"/>
      <c r="D150" s="225"/>
      <c r="E150" s="225"/>
      <c r="F150" s="225"/>
      <c r="G150" s="225"/>
      <c r="H150" s="225"/>
      <c r="I150" s="225"/>
      <c r="J150" s="225"/>
      <c r="K150" s="225"/>
      <c r="L150" s="225"/>
      <c r="M150" s="225"/>
      <c r="N150" s="225"/>
      <c r="O150" s="225"/>
      <c r="P150" s="225"/>
      <c r="Q150" s="225"/>
    </row>
    <row r="151" spans="1:17" x14ac:dyDescent="0.25">
      <c r="A151" s="225"/>
      <c r="B151" s="225"/>
      <c r="C151" s="227"/>
      <c r="D151" s="225"/>
      <c r="E151" s="225"/>
      <c r="F151" s="225"/>
      <c r="G151" s="225"/>
      <c r="H151" s="225"/>
      <c r="I151" s="225"/>
      <c r="J151" s="225"/>
      <c r="K151" s="225"/>
      <c r="L151" s="225"/>
      <c r="M151" s="225"/>
      <c r="N151" s="225"/>
      <c r="O151" s="225"/>
      <c r="P151" s="225"/>
      <c r="Q151" s="225"/>
    </row>
    <row r="152" spans="1:17" x14ac:dyDescent="0.25">
      <c r="A152" s="225"/>
      <c r="B152" s="225"/>
      <c r="C152" s="227"/>
      <c r="D152" s="225"/>
      <c r="E152" s="225"/>
      <c r="F152" s="225"/>
      <c r="G152" s="225"/>
      <c r="H152" s="225"/>
      <c r="I152" s="225"/>
      <c r="J152" s="225"/>
      <c r="K152" s="225"/>
      <c r="L152" s="225"/>
      <c r="M152" s="225"/>
      <c r="N152" s="225"/>
      <c r="O152" s="225"/>
      <c r="P152" s="225"/>
      <c r="Q152" s="225"/>
    </row>
    <row r="153" spans="1:17" x14ac:dyDescent="0.25">
      <c r="A153" s="225"/>
      <c r="B153" s="225"/>
      <c r="C153" s="227"/>
      <c r="D153" s="225"/>
      <c r="E153" s="225"/>
      <c r="F153" s="225"/>
      <c r="G153" s="225"/>
      <c r="H153" s="225"/>
      <c r="I153" s="225"/>
      <c r="J153" s="225"/>
      <c r="K153" s="225"/>
      <c r="L153" s="225"/>
      <c r="M153" s="225"/>
      <c r="N153" s="225"/>
      <c r="O153" s="225"/>
      <c r="P153" s="225"/>
      <c r="Q153" s="225"/>
    </row>
    <row r="154" spans="1:17" x14ac:dyDescent="0.25">
      <c r="A154" s="225"/>
      <c r="B154" s="225"/>
      <c r="C154" s="227"/>
      <c r="D154" s="225"/>
      <c r="E154" s="225"/>
      <c r="F154" s="225"/>
      <c r="G154" s="225"/>
      <c r="H154" s="225"/>
      <c r="I154" s="225"/>
      <c r="J154" s="225"/>
      <c r="K154" s="225"/>
      <c r="L154" s="225"/>
      <c r="M154" s="225"/>
      <c r="N154" s="225"/>
      <c r="O154" s="225"/>
      <c r="P154" s="225"/>
      <c r="Q154" s="225"/>
    </row>
    <row r="155" spans="1:17" x14ac:dyDescent="0.25">
      <c r="A155" s="225"/>
      <c r="B155" s="225"/>
      <c r="C155" s="227"/>
      <c r="D155" s="225"/>
      <c r="E155" s="225"/>
      <c r="F155" s="225"/>
      <c r="G155" s="225"/>
      <c r="H155" s="225"/>
      <c r="I155" s="225"/>
      <c r="J155" s="225"/>
      <c r="K155" s="225"/>
      <c r="L155" s="225"/>
      <c r="M155" s="225"/>
      <c r="N155" s="225"/>
      <c r="O155" s="225"/>
      <c r="P155" s="225"/>
      <c r="Q155" s="225"/>
    </row>
    <row r="156" spans="1:17" x14ac:dyDescent="0.25">
      <c r="A156" s="225"/>
      <c r="B156" s="225"/>
      <c r="C156" s="227"/>
      <c r="D156" s="225"/>
      <c r="E156" s="225"/>
      <c r="F156" s="225"/>
      <c r="G156" s="225"/>
      <c r="H156" s="225"/>
      <c r="I156" s="225"/>
      <c r="J156" s="225"/>
      <c r="K156" s="225"/>
      <c r="L156" s="225"/>
      <c r="M156" s="225"/>
      <c r="N156" s="225"/>
      <c r="O156" s="225"/>
      <c r="P156" s="225"/>
      <c r="Q156" s="225"/>
    </row>
    <row r="157" spans="1:17" x14ac:dyDescent="0.25">
      <c r="A157" s="225"/>
      <c r="B157" s="225"/>
      <c r="C157" s="227"/>
      <c r="D157" s="225"/>
      <c r="E157" s="225"/>
      <c r="F157" s="225"/>
      <c r="G157" s="225"/>
      <c r="H157" s="225"/>
      <c r="I157" s="225"/>
      <c r="J157" s="225"/>
      <c r="K157" s="225"/>
      <c r="L157" s="225"/>
      <c r="M157" s="225"/>
      <c r="N157" s="225"/>
      <c r="O157" s="225"/>
      <c r="P157" s="225"/>
      <c r="Q157" s="225"/>
    </row>
    <row r="158" spans="1:17" x14ac:dyDescent="0.25">
      <c r="A158" s="225"/>
      <c r="B158" s="225"/>
      <c r="C158" s="227"/>
      <c r="D158" s="225"/>
      <c r="E158" s="225"/>
      <c r="F158" s="225"/>
      <c r="G158" s="225"/>
      <c r="H158" s="225"/>
      <c r="I158" s="225"/>
      <c r="J158" s="225"/>
      <c r="K158" s="225"/>
      <c r="L158" s="225"/>
      <c r="M158" s="225"/>
      <c r="N158" s="225"/>
      <c r="O158" s="225"/>
      <c r="P158" s="225"/>
      <c r="Q158" s="225"/>
    </row>
    <row r="159" spans="1:17" x14ac:dyDescent="0.25">
      <c r="A159" s="225"/>
      <c r="B159" s="225"/>
      <c r="C159" s="227"/>
      <c r="D159" s="225"/>
      <c r="E159" s="225"/>
      <c r="F159" s="225"/>
      <c r="G159" s="225"/>
      <c r="H159" s="225"/>
      <c r="I159" s="225"/>
      <c r="J159" s="225"/>
      <c r="K159" s="225"/>
      <c r="L159" s="225"/>
      <c r="M159" s="225"/>
      <c r="N159" s="225"/>
      <c r="O159" s="225"/>
      <c r="P159" s="225"/>
      <c r="Q159" s="225"/>
    </row>
    <row r="160" spans="1:17" x14ac:dyDescent="0.25">
      <c r="A160" s="225"/>
      <c r="B160" s="225"/>
      <c r="C160" s="227"/>
      <c r="D160" s="225"/>
      <c r="E160" s="225"/>
      <c r="F160" s="225"/>
      <c r="G160" s="225"/>
      <c r="H160" s="225"/>
      <c r="I160" s="225"/>
      <c r="J160" s="225"/>
      <c r="K160" s="225"/>
      <c r="L160" s="225"/>
      <c r="M160" s="225"/>
      <c r="N160" s="225"/>
      <c r="O160" s="225"/>
      <c r="P160" s="225"/>
      <c r="Q160" s="225"/>
    </row>
    <row r="161" spans="1:17" x14ac:dyDescent="0.25">
      <c r="A161" s="225"/>
      <c r="B161" s="225"/>
      <c r="C161" s="227"/>
      <c r="D161" s="225"/>
      <c r="E161" s="225"/>
      <c r="F161" s="225"/>
      <c r="G161" s="225"/>
      <c r="H161" s="225"/>
      <c r="I161" s="225"/>
      <c r="J161" s="225"/>
      <c r="K161" s="225"/>
      <c r="L161" s="225"/>
      <c r="M161" s="225"/>
      <c r="N161" s="225"/>
      <c r="O161" s="225"/>
      <c r="P161" s="225"/>
      <c r="Q161" s="225"/>
    </row>
    <row r="162" spans="1:17" x14ac:dyDescent="0.25">
      <c r="A162" s="225"/>
      <c r="B162" s="225"/>
      <c r="C162" s="227"/>
      <c r="D162" s="225"/>
      <c r="E162" s="225"/>
      <c r="F162" s="225"/>
      <c r="G162" s="225"/>
      <c r="H162" s="225"/>
      <c r="I162" s="225"/>
      <c r="J162" s="225"/>
      <c r="K162" s="225"/>
      <c r="L162" s="225"/>
      <c r="M162" s="225"/>
      <c r="N162" s="225"/>
      <c r="O162" s="225"/>
      <c r="P162" s="225"/>
      <c r="Q162" s="225"/>
    </row>
    <row r="163" spans="1:17" x14ac:dyDescent="0.25">
      <c r="A163" s="225"/>
      <c r="B163" s="225"/>
      <c r="C163" s="227"/>
      <c r="D163" s="225"/>
      <c r="E163" s="225"/>
      <c r="F163" s="225"/>
      <c r="G163" s="225"/>
      <c r="H163" s="225"/>
      <c r="I163" s="225"/>
      <c r="J163" s="225"/>
      <c r="K163" s="225"/>
      <c r="L163" s="225"/>
      <c r="M163" s="225"/>
      <c r="N163" s="225"/>
      <c r="O163" s="225"/>
      <c r="P163" s="225"/>
      <c r="Q163" s="225"/>
    </row>
  </sheetData>
  <mergeCells count="16">
    <mergeCell ref="B58:F58"/>
    <mergeCell ref="B59:F59"/>
    <mergeCell ref="B47:F47"/>
    <mergeCell ref="B31:F31"/>
    <mergeCell ref="B48:O48"/>
    <mergeCell ref="Q50:Q51"/>
    <mergeCell ref="B2:O2"/>
    <mergeCell ref="B10:B11"/>
    <mergeCell ref="C10:C11"/>
    <mergeCell ref="D10:D11"/>
    <mergeCell ref="F10:F11"/>
    <mergeCell ref="G10:G11"/>
    <mergeCell ref="K10:K11"/>
    <mergeCell ref="L10:L11"/>
    <mergeCell ref="M10:O10"/>
    <mergeCell ref="E10:E11"/>
  </mergeCells>
  <printOptions horizontalCentered="1" verticalCentered="1"/>
  <pageMargins left="0.19685039400000001" right="0.25" top="0.19685039400000001" bottom="0.19685039400000001" header="0.31496062992126" footer="0.31496062992126"/>
  <pageSetup paperSize="10000" scale="88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2:AD66"/>
  <sheetViews>
    <sheetView tabSelected="1" zoomScaleNormal="100" zoomScaleSheetLayoutView="100" workbookViewId="0">
      <selection activeCell="N48" sqref="N48"/>
    </sheetView>
  </sheetViews>
  <sheetFormatPr defaultRowHeight="15.75" x14ac:dyDescent="0.25"/>
  <cols>
    <col min="1" max="1" width="3.7109375" style="250" customWidth="1"/>
    <col min="2" max="2" width="37.5703125" style="250" customWidth="1"/>
    <col min="3" max="3" width="8.28515625" style="250" customWidth="1"/>
    <col min="4" max="4" width="8.7109375" style="250" customWidth="1"/>
    <col min="5" max="5" width="8.5703125" style="250" customWidth="1"/>
    <col min="6" max="6" width="14" style="250" customWidth="1"/>
    <col min="7" max="7" width="10.5703125" style="250" customWidth="1"/>
    <col min="8" max="8" width="9.28515625" style="250" customWidth="1"/>
    <col min="9" max="9" width="15.140625" style="250" customWidth="1"/>
    <col min="10" max="10" width="8.140625" style="250" customWidth="1"/>
    <col min="11" max="11" width="10.85546875" style="250" customWidth="1"/>
    <col min="12" max="12" width="9.140625" style="250" hidden="1" customWidth="1"/>
    <col min="13" max="13" width="8.140625" style="250" hidden="1" customWidth="1"/>
    <col min="14" max="14" width="23.85546875" style="250" customWidth="1"/>
    <col min="15" max="16" width="17.140625" style="250" hidden="1" customWidth="1"/>
    <col min="17" max="18" width="11.5703125" style="359" customWidth="1"/>
    <col min="19" max="19" width="16.140625" style="359" customWidth="1"/>
    <col min="20" max="20" width="36.5703125" style="291" customWidth="1"/>
    <col min="21" max="21" width="8.5703125" style="291" hidden="1" customWidth="1"/>
    <col min="22" max="22" width="6.7109375" style="291" hidden="1" customWidth="1"/>
    <col min="23" max="23" width="16.42578125" style="291" customWidth="1"/>
    <col min="24" max="24" width="21.85546875" style="291" customWidth="1"/>
    <col min="25" max="25" width="13.140625" style="291" customWidth="1"/>
    <col min="26" max="26" width="14.28515625" style="291" customWidth="1"/>
    <col min="27" max="27" width="12.140625" style="291" customWidth="1"/>
    <col min="28" max="28" width="12.140625" style="250" customWidth="1"/>
    <col min="29" max="29" width="11.140625" style="250" customWidth="1"/>
    <col min="30" max="30" width="15" style="250" bestFit="1" customWidth="1"/>
    <col min="31" max="16384" width="9.140625" style="250"/>
  </cols>
  <sheetData>
    <row r="2" spans="1:30" x14ac:dyDescent="0.25">
      <c r="A2" s="536" t="s">
        <v>699</v>
      </c>
      <c r="B2" s="536"/>
      <c r="C2" s="536"/>
      <c r="D2" s="536"/>
      <c r="E2" s="536"/>
      <c r="F2" s="536"/>
      <c r="G2" s="536"/>
      <c r="H2" s="536"/>
      <c r="I2" s="536"/>
      <c r="J2" s="536"/>
      <c r="K2" s="536"/>
      <c r="L2" s="536"/>
      <c r="M2" s="536"/>
      <c r="N2" s="536"/>
      <c r="O2" s="536"/>
      <c r="P2" s="536"/>
      <c r="Q2" s="536"/>
      <c r="R2" s="536"/>
      <c r="S2" s="536"/>
      <c r="T2" s="251"/>
      <c r="U2" s="251"/>
      <c r="V2" s="251"/>
      <c r="W2" s="251"/>
      <c r="X2" s="251"/>
      <c r="Y2" s="251"/>
      <c r="Z2" s="251"/>
    </row>
    <row r="3" spans="1:30" x14ac:dyDescent="0.25">
      <c r="A3" s="536" t="s">
        <v>668</v>
      </c>
      <c r="B3" s="536"/>
      <c r="C3" s="536"/>
      <c r="D3" s="536"/>
      <c r="E3" s="536"/>
      <c r="F3" s="536"/>
      <c r="G3" s="536"/>
      <c r="H3" s="536"/>
      <c r="I3" s="536"/>
      <c r="J3" s="536"/>
      <c r="K3" s="536"/>
      <c r="L3" s="536"/>
      <c r="M3" s="536"/>
      <c r="N3" s="536"/>
      <c r="O3" s="536"/>
      <c r="P3" s="536"/>
      <c r="Q3" s="536"/>
      <c r="R3" s="536"/>
      <c r="S3" s="536"/>
      <c r="T3" s="251"/>
      <c r="U3" s="251"/>
      <c r="V3" s="251"/>
      <c r="W3" s="251"/>
      <c r="X3" s="251"/>
      <c r="Y3" s="251"/>
      <c r="Z3" s="251"/>
    </row>
    <row r="4" spans="1:30" x14ac:dyDescent="0.25">
      <c r="A4" s="537" t="s">
        <v>736</v>
      </c>
      <c r="B4" s="537"/>
      <c r="C4" s="537"/>
      <c r="D4" s="537"/>
      <c r="E4" s="537"/>
      <c r="F4" s="537"/>
      <c r="G4" s="537"/>
      <c r="H4" s="537"/>
      <c r="I4" s="537"/>
      <c r="J4" s="537"/>
      <c r="K4" s="537"/>
      <c r="L4" s="537"/>
      <c r="M4" s="537"/>
      <c r="N4" s="537"/>
      <c r="O4" s="537"/>
      <c r="P4" s="537"/>
      <c r="Q4" s="537"/>
      <c r="R4" s="537"/>
      <c r="S4" s="537"/>
      <c r="T4" s="252"/>
      <c r="U4" s="252"/>
      <c r="V4" s="252"/>
      <c r="W4" s="252"/>
      <c r="X4" s="252"/>
      <c r="Y4" s="252"/>
      <c r="Z4" s="252"/>
    </row>
    <row r="5" spans="1:30" x14ac:dyDescent="0.25">
      <c r="E5" s="253"/>
      <c r="F5" s="253"/>
      <c r="G5" s="253"/>
      <c r="H5" s="253"/>
      <c r="N5" s="254"/>
      <c r="O5" s="254"/>
      <c r="P5" s="254"/>
      <c r="Q5" s="431"/>
      <c r="R5" s="431"/>
      <c r="S5" s="431"/>
      <c r="T5" s="255"/>
      <c r="U5" s="255"/>
      <c r="V5" s="255"/>
      <c r="W5" s="255"/>
      <c r="X5" s="255"/>
      <c r="Y5" s="255"/>
      <c r="Z5" s="255"/>
    </row>
    <row r="6" spans="1:30" ht="15.95" customHeight="1" x14ac:dyDescent="0.25">
      <c r="A6" s="538" t="s">
        <v>636</v>
      </c>
      <c r="B6" s="538" t="s">
        <v>679</v>
      </c>
      <c r="C6" s="543" t="s">
        <v>680</v>
      </c>
      <c r="D6" s="544"/>
      <c r="E6" s="544"/>
      <c r="F6" s="545"/>
      <c r="G6" s="541" t="s">
        <v>702</v>
      </c>
      <c r="H6" s="542"/>
      <c r="I6" s="256"/>
      <c r="J6" s="256" t="s">
        <v>682</v>
      </c>
      <c r="K6" s="257"/>
      <c r="L6" s="258" t="s">
        <v>638</v>
      </c>
      <c r="M6" s="259" t="s">
        <v>639</v>
      </c>
      <c r="N6" s="461"/>
      <c r="O6" s="418" t="s">
        <v>724</v>
      </c>
      <c r="P6" s="260"/>
      <c r="Q6" s="432"/>
      <c r="R6" s="433"/>
      <c r="S6" s="260" t="s">
        <v>686</v>
      </c>
      <c r="T6" s="261"/>
      <c r="U6" s="261"/>
      <c r="V6" s="261"/>
      <c r="W6" s="261"/>
      <c r="X6" s="261"/>
      <c r="Y6" s="261"/>
      <c r="Z6" s="292" t="s">
        <v>637</v>
      </c>
      <c r="AA6" s="293" t="s">
        <v>25</v>
      </c>
    </row>
    <row r="7" spans="1:30" ht="15.95" customHeight="1" x14ac:dyDescent="0.25">
      <c r="A7" s="539"/>
      <c r="B7" s="539"/>
      <c r="C7" s="262"/>
      <c r="D7" s="262"/>
      <c r="E7" s="262"/>
      <c r="F7" s="263"/>
      <c r="G7" s="264"/>
      <c r="H7" s="265"/>
      <c r="I7" s="546" t="s">
        <v>688</v>
      </c>
      <c r="J7" s="542"/>
      <c r="K7" s="266" t="s">
        <v>540</v>
      </c>
      <c r="L7" s="267" t="s">
        <v>641</v>
      </c>
      <c r="M7" s="268" t="s">
        <v>642</v>
      </c>
      <c r="N7" s="436"/>
      <c r="O7" s="275" t="s">
        <v>725</v>
      </c>
      <c r="P7" s="266" t="s">
        <v>25</v>
      </c>
      <c r="Q7" s="434" t="s">
        <v>684</v>
      </c>
      <c r="R7" s="267" t="s">
        <v>683</v>
      </c>
      <c r="S7" s="434" t="s">
        <v>700</v>
      </c>
      <c r="T7" s="269" t="s">
        <v>0</v>
      </c>
      <c r="U7" s="269" t="s">
        <v>640</v>
      </c>
      <c r="V7" s="269"/>
      <c r="W7" s="269"/>
      <c r="X7" s="269"/>
      <c r="Y7" s="269"/>
      <c r="Z7" s="294" t="s">
        <v>698</v>
      </c>
      <c r="AA7" s="295"/>
    </row>
    <row r="8" spans="1:30" ht="15.95" customHeight="1" x14ac:dyDescent="0.25">
      <c r="A8" s="539"/>
      <c r="B8" s="539"/>
      <c r="C8" s="270" t="s">
        <v>643</v>
      </c>
      <c r="D8" s="270" t="s">
        <v>161</v>
      </c>
      <c r="E8" s="271" t="s">
        <v>708</v>
      </c>
      <c r="F8" s="270" t="s">
        <v>14</v>
      </c>
      <c r="G8" s="272" t="s">
        <v>543</v>
      </c>
      <c r="H8" s="273" t="s">
        <v>635</v>
      </c>
      <c r="I8" s="274" t="s">
        <v>681</v>
      </c>
      <c r="J8" s="274" t="s">
        <v>651</v>
      </c>
      <c r="K8" s="401" t="s">
        <v>710</v>
      </c>
      <c r="L8" s="275" t="s">
        <v>649</v>
      </c>
      <c r="M8" s="276"/>
      <c r="N8" s="436" t="s">
        <v>644</v>
      </c>
      <c r="O8" s="275" t="s">
        <v>16</v>
      </c>
      <c r="P8" s="266"/>
      <c r="Q8" s="435" t="s">
        <v>685</v>
      </c>
      <c r="R8" s="436" t="s">
        <v>685</v>
      </c>
      <c r="S8" s="435" t="s">
        <v>701</v>
      </c>
      <c r="T8" s="277" t="s">
        <v>645</v>
      </c>
      <c r="U8" s="278" t="s">
        <v>646</v>
      </c>
      <c r="V8" s="278"/>
      <c r="W8" s="278" t="s">
        <v>647</v>
      </c>
      <c r="X8" s="277" t="s">
        <v>554</v>
      </c>
      <c r="Y8" s="277" t="s">
        <v>648</v>
      </c>
      <c r="Z8" s="296" t="s">
        <v>543</v>
      </c>
      <c r="AA8" s="295"/>
    </row>
    <row r="9" spans="1:30" ht="15.95" customHeight="1" x14ac:dyDescent="0.25">
      <c r="A9" s="540"/>
      <c r="B9" s="540"/>
      <c r="C9" s="279"/>
      <c r="D9" s="280"/>
      <c r="E9" s="281" t="s">
        <v>709</v>
      </c>
      <c r="F9" s="281"/>
      <c r="G9" s="282"/>
      <c r="H9" s="283"/>
      <c r="I9" s="284"/>
      <c r="J9" s="285"/>
      <c r="K9" s="402" t="s">
        <v>711</v>
      </c>
      <c r="L9" s="275"/>
      <c r="M9" s="276"/>
      <c r="N9" s="462"/>
      <c r="O9" s="402" t="s">
        <v>650</v>
      </c>
      <c r="P9" s="419"/>
      <c r="Q9" s="437"/>
      <c r="R9" s="438"/>
      <c r="S9" s="437"/>
      <c r="T9" s="277"/>
      <c r="U9" s="277"/>
      <c r="V9" s="277"/>
      <c r="W9" s="277"/>
      <c r="X9" s="277"/>
      <c r="Y9" s="277"/>
      <c r="Z9" s="296" t="s">
        <v>681</v>
      </c>
      <c r="AA9" s="295"/>
    </row>
    <row r="10" spans="1:30" x14ac:dyDescent="0.25">
      <c r="A10" s="289"/>
      <c r="B10" s="297"/>
      <c r="C10" s="288"/>
      <c r="D10" s="288"/>
      <c r="E10" s="289"/>
      <c r="F10" s="289"/>
      <c r="G10" s="289"/>
      <c r="H10" s="289"/>
      <c r="I10" s="298"/>
      <c r="J10" s="298"/>
      <c r="K10" s="299"/>
      <c r="L10" s="299"/>
      <c r="M10" s="299"/>
      <c r="N10" s="289"/>
      <c r="O10" s="289"/>
      <c r="P10" s="289"/>
      <c r="Q10" s="439"/>
      <c r="R10" s="439"/>
      <c r="S10" s="439"/>
      <c r="T10" s="300"/>
      <c r="U10" s="300"/>
      <c r="V10" s="300"/>
      <c r="W10" s="300"/>
      <c r="X10" s="300"/>
      <c r="Y10" s="300"/>
      <c r="Z10" s="301"/>
      <c r="AA10" s="302"/>
    </row>
    <row r="11" spans="1:30" x14ac:dyDescent="0.25">
      <c r="A11" s="303" t="s">
        <v>652</v>
      </c>
      <c r="B11" s="304" t="s">
        <v>653</v>
      </c>
      <c r="D11" s="305"/>
      <c r="E11" s="305"/>
      <c r="F11" s="306"/>
      <c r="G11" s="305"/>
      <c r="H11" s="305"/>
      <c r="I11" s="307"/>
      <c r="J11" s="308"/>
      <c r="L11" s="309"/>
      <c r="M11" s="309"/>
      <c r="N11" s="305"/>
      <c r="O11" s="305"/>
      <c r="P11" s="305"/>
      <c r="Q11" s="440"/>
      <c r="R11" s="440"/>
      <c r="S11" s="440"/>
      <c r="T11" s="310"/>
      <c r="U11" s="310"/>
      <c r="V11" s="310"/>
      <c r="W11" s="310"/>
      <c r="X11" s="310"/>
      <c r="Y11" s="310"/>
      <c r="Z11" s="311"/>
      <c r="AA11" s="302"/>
      <c r="AC11" s="312"/>
      <c r="AD11" s="312"/>
    </row>
    <row r="12" spans="1:30" x14ac:dyDescent="0.25">
      <c r="A12" s="313"/>
      <c r="B12" s="304" t="s">
        <v>654</v>
      </c>
      <c r="C12" s="314"/>
      <c r="D12" s="314"/>
      <c r="E12" s="313"/>
      <c r="F12" s="313"/>
      <c r="G12" s="313"/>
      <c r="H12" s="313"/>
      <c r="I12" s="314"/>
      <c r="J12" s="408"/>
      <c r="K12" s="315"/>
      <c r="L12" s="309"/>
      <c r="M12" s="309"/>
      <c r="N12" s="313"/>
      <c r="O12" s="313"/>
      <c r="P12" s="313"/>
      <c r="Q12" s="441"/>
      <c r="R12" s="441"/>
      <c r="S12" s="441"/>
      <c r="T12" s="316"/>
      <c r="U12" s="316"/>
      <c r="V12" s="316"/>
      <c r="W12" s="316"/>
      <c r="X12" s="316"/>
      <c r="Y12" s="316"/>
      <c r="Z12" s="317"/>
      <c r="AA12" s="302"/>
      <c r="AC12" s="318"/>
      <c r="AD12" s="312"/>
    </row>
    <row r="13" spans="1:30" x14ac:dyDescent="0.25">
      <c r="A13" s="313"/>
      <c r="B13" s="319" t="s">
        <v>655</v>
      </c>
      <c r="D13" s="306"/>
      <c r="E13" s="313"/>
      <c r="F13" s="306">
        <f>SUM(F15:F21)</f>
        <v>508573200</v>
      </c>
      <c r="G13" s="313"/>
      <c r="H13" s="303"/>
      <c r="I13" s="406">
        <f>SUM(I15:I21)</f>
        <v>505013961</v>
      </c>
      <c r="J13" s="409">
        <f>I13/F13*100</f>
        <v>99.300152072504019</v>
      </c>
      <c r="K13" s="407">
        <f>(SUM(K15:K21))/7</f>
        <v>100</v>
      </c>
      <c r="L13" s="309"/>
      <c r="M13" s="309"/>
      <c r="N13" s="303"/>
      <c r="O13" s="303"/>
      <c r="P13" s="303"/>
      <c r="Q13" s="442"/>
      <c r="R13" s="442"/>
      <c r="S13" s="442"/>
      <c r="T13" s="320"/>
      <c r="U13" s="320"/>
      <c r="V13" s="320"/>
      <c r="W13" s="320"/>
      <c r="X13" s="320"/>
      <c r="Y13" s="320"/>
      <c r="Z13" s="311">
        <f>SUM(Z15:Z21)</f>
        <v>505167161</v>
      </c>
      <c r="AA13" s="302"/>
      <c r="AC13" s="318"/>
      <c r="AD13" s="312"/>
    </row>
    <row r="14" spans="1:30" x14ac:dyDescent="0.25">
      <c r="A14" s="323"/>
      <c r="B14" s="321" t="s">
        <v>656</v>
      </c>
      <c r="C14" s="322"/>
      <c r="D14" s="322"/>
      <c r="E14" s="323"/>
      <c r="F14" s="323"/>
      <c r="G14" s="323"/>
      <c r="H14" s="324"/>
      <c r="I14" s="322"/>
      <c r="J14" s="409"/>
      <c r="K14" s="326"/>
      <c r="L14" s="327"/>
      <c r="M14" s="327"/>
      <c r="N14" s="324"/>
      <c r="O14" s="324"/>
      <c r="P14" s="324"/>
      <c r="Q14" s="443"/>
      <c r="R14" s="443"/>
      <c r="S14" s="443"/>
      <c r="T14" s="328"/>
      <c r="U14" s="328"/>
      <c r="V14" s="328"/>
      <c r="W14" s="328"/>
      <c r="X14" s="328"/>
      <c r="Y14" s="328"/>
      <c r="Z14" s="329"/>
      <c r="AA14" s="302"/>
      <c r="AC14" s="318"/>
      <c r="AD14" s="312"/>
    </row>
    <row r="15" spans="1:30" ht="24.95" customHeight="1" x14ac:dyDescent="0.25">
      <c r="A15" s="333">
        <v>1</v>
      </c>
      <c r="B15" s="330" t="s">
        <v>107</v>
      </c>
      <c r="C15" s="331">
        <v>1</v>
      </c>
      <c r="D15" s="332" t="s">
        <v>661</v>
      </c>
      <c r="E15" s="333" t="s">
        <v>23</v>
      </c>
      <c r="F15" s="331">
        <v>8180000</v>
      </c>
      <c r="G15" s="333"/>
      <c r="H15" s="333" t="s">
        <v>658</v>
      </c>
      <c r="I15" s="331">
        <f>Y15</f>
        <v>8100400</v>
      </c>
      <c r="J15" s="334">
        <f t="shared" ref="J15:J21" si="0">I15/F15*100</f>
        <v>99.026894865525676</v>
      </c>
      <c r="K15" s="335">
        <v>100</v>
      </c>
      <c r="L15" s="330"/>
      <c r="M15" s="330"/>
      <c r="N15" s="336" t="s">
        <v>662</v>
      </c>
      <c r="O15" s="429">
        <v>44081</v>
      </c>
      <c r="P15" s="429"/>
      <c r="Q15" s="429">
        <v>44035</v>
      </c>
      <c r="R15" s="429">
        <v>44039</v>
      </c>
      <c r="S15" s="444">
        <v>5</v>
      </c>
      <c r="T15" s="337" t="s">
        <v>675</v>
      </c>
      <c r="U15" s="338" t="s">
        <v>659</v>
      </c>
      <c r="V15" s="338"/>
      <c r="W15" s="404">
        <v>44081</v>
      </c>
      <c r="X15" s="414" t="s">
        <v>717</v>
      </c>
      <c r="Y15" s="341">
        <v>8100400</v>
      </c>
      <c r="Z15" s="342">
        <v>8100400</v>
      </c>
      <c r="AA15" s="343"/>
      <c r="AC15" s="318"/>
      <c r="AD15" s="312"/>
    </row>
    <row r="16" spans="1:30" ht="24.95" customHeight="1" x14ac:dyDescent="0.25">
      <c r="A16" s="333">
        <v>2</v>
      </c>
      <c r="B16" s="330" t="s">
        <v>687</v>
      </c>
      <c r="C16" s="331">
        <v>9</v>
      </c>
      <c r="D16" s="332" t="s">
        <v>661</v>
      </c>
      <c r="E16" s="333" t="s">
        <v>23</v>
      </c>
      <c r="F16" s="331">
        <v>199500000</v>
      </c>
      <c r="G16" s="333"/>
      <c r="H16" s="333" t="s">
        <v>658</v>
      </c>
      <c r="I16" s="331">
        <f>Z16</f>
        <v>199222861</v>
      </c>
      <c r="J16" s="334">
        <f t="shared" si="0"/>
        <v>99.861083208020048</v>
      </c>
      <c r="K16" s="335">
        <v>100</v>
      </c>
      <c r="L16" s="330"/>
      <c r="M16" s="330"/>
      <c r="N16" s="336" t="s">
        <v>660</v>
      </c>
      <c r="O16" s="427">
        <v>44131</v>
      </c>
      <c r="P16" s="427"/>
      <c r="Q16" s="429">
        <v>44054</v>
      </c>
      <c r="R16" s="429">
        <v>44128</v>
      </c>
      <c r="S16" s="444">
        <v>75</v>
      </c>
      <c r="T16" s="337" t="s">
        <v>692</v>
      </c>
      <c r="U16" s="338" t="s">
        <v>659</v>
      </c>
      <c r="V16" s="338"/>
      <c r="W16" s="339">
        <v>44131</v>
      </c>
      <c r="X16" s="414" t="s">
        <v>720</v>
      </c>
      <c r="Y16" s="341">
        <v>199222861</v>
      </c>
      <c r="Z16" s="342">
        <v>199222861</v>
      </c>
      <c r="AA16" s="343"/>
      <c r="AC16" s="318"/>
      <c r="AD16" s="312"/>
    </row>
    <row r="17" spans="1:30" ht="30.75" customHeight="1" x14ac:dyDescent="0.25">
      <c r="A17" s="333">
        <v>3</v>
      </c>
      <c r="B17" s="330" t="s">
        <v>109</v>
      </c>
      <c r="C17" s="331">
        <v>1</v>
      </c>
      <c r="D17" s="332" t="s">
        <v>661</v>
      </c>
      <c r="E17" s="333" t="s">
        <v>23</v>
      </c>
      <c r="F17" s="331">
        <v>6135000</v>
      </c>
      <c r="G17" s="333"/>
      <c r="H17" s="333" t="s">
        <v>658</v>
      </c>
      <c r="I17" s="331">
        <f>Y17</f>
        <v>6049615</v>
      </c>
      <c r="J17" s="334">
        <f t="shared" si="0"/>
        <v>98.60823145884271</v>
      </c>
      <c r="K17" s="335">
        <v>100</v>
      </c>
      <c r="L17" s="344"/>
      <c r="M17" s="330"/>
      <c r="N17" s="345" t="s">
        <v>662</v>
      </c>
      <c r="O17" s="425" t="s">
        <v>726</v>
      </c>
      <c r="P17" s="425" t="s">
        <v>727</v>
      </c>
      <c r="Q17" s="429">
        <v>44054</v>
      </c>
      <c r="R17" s="429">
        <v>44128</v>
      </c>
      <c r="S17" s="444">
        <v>75</v>
      </c>
      <c r="T17" s="337" t="s">
        <v>693</v>
      </c>
      <c r="U17" s="338" t="s">
        <v>664</v>
      </c>
      <c r="V17" s="338"/>
      <c r="W17" s="404">
        <v>44147</v>
      </c>
      <c r="X17" s="340" t="s">
        <v>730</v>
      </c>
      <c r="Y17" s="341">
        <v>6049615</v>
      </c>
      <c r="Z17" s="342">
        <v>6049615</v>
      </c>
      <c r="AA17" s="346"/>
    </row>
    <row r="18" spans="1:30" ht="30.75" customHeight="1" x14ac:dyDescent="0.25">
      <c r="A18" s="333">
        <v>4</v>
      </c>
      <c r="B18" s="347" t="s">
        <v>669</v>
      </c>
      <c r="C18" s="331">
        <v>1</v>
      </c>
      <c r="D18" s="332" t="s">
        <v>661</v>
      </c>
      <c r="E18" s="333" t="s">
        <v>23</v>
      </c>
      <c r="F18" s="331">
        <v>167750000</v>
      </c>
      <c r="G18" s="333"/>
      <c r="H18" s="333" t="s">
        <v>658</v>
      </c>
      <c r="I18" s="331">
        <f>Y18</f>
        <v>165607500</v>
      </c>
      <c r="J18" s="334">
        <f t="shared" si="0"/>
        <v>98.722801788375563</v>
      </c>
      <c r="K18" s="335">
        <v>100</v>
      </c>
      <c r="L18" s="344"/>
      <c r="M18" s="330"/>
      <c r="N18" s="345" t="s">
        <v>412</v>
      </c>
      <c r="O18" s="425" t="s">
        <v>726</v>
      </c>
      <c r="P18" s="425" t="s">
        <v>727</v>
      </c>
      <c r="Q18" s="429">
        <v>44061</v>
      </c>
      <c r="R18" s="429">
        <v>44135</v>
      </c>
      <c r="S18" s="444">
        <v>75</v>
      </c>
      <c r="T18" s="337" t="s">
        <v>694</v>
      </c>
      <c r="U18" s="338" t="s">
        <v>664</v>
      </c>
      <c r="V18" s="338"/>
      <c r="W18" s="404">
        <v>44148</v>
      </c>
      <c r="X18" s="348" t="s">
        <v>732</v>
      </c>
      <c r="Y18" s="341">
        <v>165607500</v>
      </c>
      <c r="Z18" s="349">
        <v>165607500</v>
      </c>
      <c r="AA18" s="343"/>
      <c r="AB18" s="350">
        <f>Z18/2</f>
        <v>82803750</v>
      </c>
      <c r="AC18" s="312"/>
      <c r="AD18" s="312"/>
    </row>
    <row r="19" spans="1:30" ht="30.75" customHeight="1" x14ac:dyDescent="0.25">
      <c r="A19" s="333">
        <v>5</v>
      </c>
      <c r="B19" s="347" t="s">
        <v>670</v>
      </c>
      <c r="C19" s="331">
        <v>1</v>
      </c>
      <c r="D19" s="332" t="s">
        <v>661</v>
      </c>
      <c r="E19" s="333" t="s">
        <v>23</v>
      </c>
      <c r="F19" s="331">
        <v>71000000</v>
      </c>
      <c r="G19" s="333"/>
      <c r="H19" s="333" t="s">
        <v>658</v>
      </c>
      <c r="I19" s="331">
        <f>Y19</f>
        <v>70278585</v>
      </c>
      <c r="J19" s="334">
        <f t="shared" si="0"/>
        <v>98.983922535211263</v>
      </c>
      <c r="K19" s="335">
        <v>100</v>
      </c>
      <c r="L19" s="344"/>
      <c r="M19" s="330"/>
      <c r="N19" s="345" t="s">
        <v>660</v>
      </c>
      <c r="O19" s="425" t="s">
        <v>726</v>
      </c>
      <c r="P19" s="425" t="s">
        <v>727</v>
      </c>
      <c r="Q19" s="429">
        <v>44062</v>
      </c>
      <c r="R19" s="429">
        <v>44135</v>
      </c>
      <c r="S19" s="444">
        <v>74</v>
      </c>
      <c r="T19" s="337" t="s">
        <v>695</v>
      </c>
      <c r="U19" s="338" t="s">
        <v>664</v>
      </c>
      <c r="V19" s="338"/>
      <c r="W19" s="404">
        <v>44147</v>
      </c>
      <c r="X19" s="348" t="s">
        <v>731</v>
      </c>
      <c r="Y19" s="341">
        <v>70278585</v>
      </c>
      <c r="Z19" s="349">
        <v>70278585</v>
      </c>
      <c r="AA19" s="343"/>
      <c r="AB19" s="350">
        <f>Z19/2</f>
        <v>35139292.5</v>
      </c>
      <c r="AD19" s="351"/>
    </row>
    <row r="20" spans="1:30" ht="30.75" customHeight="1" x14ac:dyDescent="0.25">
      <c r="A20" s="333">
        <v>6</v>
      </c>
      <c r="B20" s="347" t="s">
        <v>677</v>
      </c>
      <c r="C20" s="331">
        <v>1</v>
      </c>
      <c r="D20" s="332" t="s">
        <v>661</v>
      </c>
      <c r="E20" s="333" t="s">
        <v>23</v>
      </c>
      <c r="F20" s="331">
        <v>30750000</v>
      </c>
      <c r="G20" s="333"/>
      <c r="H20" s="333" t="s">
        <v>658</v>
      </c>
      <c r="I20" s="331">
        <f>Z20</f>
        <v>30650000</v>
      </c>
      <c r="J20" s="334">
        <f t="shared" si="0"/>
        <v>99.674796747967477</v>
      </c>
      <c r="K20" s="335">
        <v>100</v>
      </c>
      <c r="L20" s="344"/>
      <c r="M20" s="330"/>
      <c r="N20" s="345" t="s">
        <v>412</v>
      </c>
      <c r="O20" s="425" t="s">
        <v>726</v>
      </c>
      <c r="P20" s="425" t="s">
        <v>727</v>
      </c>
      <c r="Q20" s="429">
        <v>44061</v>
      </c>
      <c r="R20" s="429">
        <v>44135</v>
      </c>
      <c r="S20" s="444">
        <v>75</v>
      </c>
      <c r="T20" s="337" t="s">
        <v>696</v>
      </c>
      <c r="U20" s="338" t="s">
        <v>664</v>
      </c>
      <c r="V20" s="338"/>
      <c r="W20" s="404">
        <v>44145</v>
      </c>
      <c r="X20" s="348" t="s">
        <v>729</v>
      </c>
      <c r="Y20" s="352">
        <f>Z20</f>
        <v>30650000</v>
      </c>
      <c r="Z20" s="353">
        <v>30650000</v>
      </c>
      <c r="AA20" s="343"/>
      <c r="AB20" s="350"/>
      <c r="AD20" s="351"/>
    </row>
    <row r="21" spans="1:30" ht="30.75" customHeight="1" x14ac:dyDescent="0.25">
      <c r="A21" s="333">
        <v>7</v>
      </c>
      <c r="B21" s="330" t="s">
        <v>671</v>
      </c>
      <c r="C21" s="331">
        <v>1</v>
      </c>
      <c r="D21" s="345" t="s">
        <v>663</v>
      </c>
      <c r="E21" s="333" t="s">
        <v>23</v>
      </c>
      <c r="F21" s="331">
        <v>25258200</v>
      </c>
      <c r="G21" s="333" t="s">
        <v>658</v>
      </c>
      <c r="H21" s="330"/>
      <c r="I21" s="331">
        <f>SUM(Y21:Y25)</f>
        <v>25105000</v>
      </c>
      <c r="J21" s="334">
        <f t="shared" si="0"/>
        <v>99.393464300702348</v>
      </c>
      <c r="K21" s="335">
        <v>100</v>
      </c>
      <c r="L21" s="344"/>
      <c r="M21" s="330"/>
      <c r="N21" s="336" t="s">
        <v>690</v>
      </c>
      <c r="O21" s="425" t="s">
        <v>726</v>
      </c>
      <c r="P21" s="425" t="s">
        <v>727</v>
      </c>
      <c r="Q21" s="429">
        <v>44028</v>
      </c>
      <c r="R21" s="429">
        <v>44196</v>
      </c>
      <c r="S21" s="444">
        <v>126</v>
      </c>
      <c r="T21" s="337" t="s">
        <v>676</v>
      </c>
      <c r="U21" s="338" t="s">
        <v>664</v>
      </c>
      <c r="V21" s="338" t="s">
        <v>633</v>
      </c>
      <c r="W21" s="404">
        <v>44083</v>
      </c>
      <c r="X21" s="403" t="s">
        <v>713</v>
      </c>
      <c r="Y21" s="352">
        <v>9225000</v>
      </c>
      <c r="Z21" s="356">
        <v>25258200</v>
      </c>
      <c r="AA21" s="346"/>
      <c r="AB21" s="250" t="e">
        <f>Z21/Z25*100</f>
        <v>#DIV/0!</v>
      </c>
      <c r="AD21" s="357" t="e">
        <f>4000000/#REF!</f>
        <v>#REF!</v>
      </c>
    </row>
    <row r="22" spans="1:30" ht="17.25" customHeight="1" x14ac:dyDescent="0.25">
      <c r="A22" s="333"/>
      <c r="B22" s="330"/>
      <c r="C22" s="331"/>
      <c r="D22" s="345"/>
      <c r="E22" s="333"/>
      <c r="F22" s="331"/>
      <c r="G22" s="333"/>
      <c r="H22" s="330"/>
      <c r="I22" s="331"/>
      <c r="J22" s="334"/>
      <c r="K22" s="335"/>
      <c r="L22" s="344"/>
      <c r="M22" s="330"/>
      <c r="N22" s="336"/>
      <c r="O22" s="333"/>
      <c r="P22" s="417"/>
      <c r="Q22" s="445"/>
      <c r="R22" s="446"/>
      <c r="S22" s="447"/>
      <c r="T22" s="337"/>
      <c r="U22" s="338"/>
      <c r="V22" s="338"/>
      <c r="W22" s="404">
        <v>44111</v>
      </c>
      <c r="X22" s="403" t="s">
        <v>719</v>
      </c>
      <c r="Y22" s="352">
        <v>3528000</v>
      </c>
      <c r="Z22" s="356"/>
      <c r="AA22" s="346"/>
      <c r="AD22" s="357"/>
    </row>
    <row r="23" spans="1:30" ht="17.25" customHeight="1" x14ac:dyDescent="0.25">
      <c r="A23" s="333"/>
      <c r="B23" s="330"/>
      <c r="C23" s="331"/>
      <c r="D23" s="345"/>
      <c r="E23" s="333"/>
      <c r="F23" s="331"/>
      <c r="G23" s="333"/>
      <c r="H23" s="330"/>
      <c r="I23" s="331"/>
      <c r="J23" s="334"/>
      <c r="K23" s="335"/>
      <c r="L23" s="344"/>
      <c r="M23" s="330"/>
      <c r="N23" s="336"/>
      <c r="O23" s="333"/>
      <c r="P23" s="417"/>
      <c r="Q23" s="445"/>
      <c r="R23" s="446"/>
      <c r="S23" s="447"/>
      <c r="T23" s="337"/>
      <c r="U23" s="338"/>
      <c r="V23" s="338"/>
      <c r="W23" s="404">
        <v>44148</v>
      </c>
      <c r="X23" s="403" t="s">
        <v>733</v>
      </c>
      <c r="Y23" s="352">
        <v>1960000</v>
      </c>
      <c r="Z23" s="356"/>
      <c r="AA23" s="346"/>
      <c r="AD23" s="357"/>
    </row>
    <row r="24" spans="1:30" ht="24.75" hidden="1" customHeight="1" x14ac:dyDescent="0.25">
      <c r="A24" s="333"/>
      <c r="B24" s="330"/>
      <c r="C24" s="331"/>
      <c r="D24" s="345"/>
      <c r="E24" s="333"/>
      <c r="F24" s="331"/>
      <c r="G24" s="333"/>
      <c r="H24" s="330"/>
      <c r="I24" s="331"/>
      <c r="J24" s="334"/>
      <c r="K24" s="335"/>
      <c r="L24" s="344"/>
      <c r="M24" s="330"/>
      <c r="N24" s="336"/>
      <c r="O24" s="333"/>
      <c r="P24" s="417"/>
      <c r="Q24" s="445"/>
      <c r="R24" s="446"/>
      <c r="S24" s="447"/>
      <c r="T24" s="337"/>
      <c r="U24" s="338"/>
      <c r="V24" s="338"/>
      <c r="W24" s="404">
        <v>44148</v>
      </c>
      <c r="X24" s="403" t="s">
        <v>734</v>
      </c>
      <c r="Y24" s="352">
        <v>3280000</v>
      </c>
      <c r="Z24" s="356"/>
      <c r="AA24" s="346"/>
      <c r="AD24" s="357"/>
    </row>
    <row r="25" spans="1:30" hidden="1" x14ac:dyDescent="0.25">
      <c r="A25" s="333"/>
      <c r="B25" s="330"/>
      <c r="C25" s="331"/>
      <c r="D25" s="331"/>
      <c r="E25" s="333"/>
      <c r="F25" s="333"/>
      <c r="G25" s="333"/>
      <c r="H25" s="333"/>
      <c r="I25" s="331"/>
      <c r="J25" s="334"/>
      <c r="K25" s="335"/>
      <c r="L25" s="344"/>
      <c r="M25" s="330"/>
      <c r="N25" s="333"/>
      <c r="O25" s="333"/>
      <c r="P25" s="417"/>
      <c r="Q25" s="445"/>
      <c r="R25" s="446"/>
      <c r="S25" s="446"/>
      <c r="T25" s="337"/>
      <c r="U25" s="338" t="s">
        <v>664</v>
      </c>
      <c r="V25" s="338" t="s">
        <v>634</v>
      </c>
      <c r="W25" s="404">
        <v>44153</v>
      </c>
      <c r="X25" s="355" t="s">
        <v>735</v>
      </c>
      <c r="Y25" s="352">
        <v>7112000</v>
      </c>
      <c r="Z25" s="358"/>
      <c r="AA25" s="346"/>
      <c r="AD25" s="357"/>
    </row>
    <row r="26" spans="1:30" s="367" customFormat="1" x14ac:dyDescent="0.25">
      <c r="A26" s="416" t="s">
        <v>665</v>
      </c>
      <c r="B26" s="360" t="s">
        <v>653</v>
      </c>
      <c r="C26" s="361"/>
      <c r="D26" s="361"/>
      <c r="E26" s="362"/>
      <c r="F26" s="361"/>
      <c r="G26" s="362"/>
      <c r="H26" s="362"/>
      <c r="I26" s="363"/>
      <c r="J26" s="364"/>
      <c r="K26" s="364"/>
      <c r="L26" s="365"/>
      <c r="M26" s="366"/>
      <c r="N26" s="362"/>
      <c r="O26" s="422"/>
      <c r="P26" s="420"/>
      <c r="Q26" s="441"/>
      <c r="R26" s="441"/>
      <c r="S26" s="441"/>
      <c r="T26" s="316"/>
      <c r="U26" s="316"/>
      <c r="V26" s="316"/>
      <c r="W26" s="316"/>
      <c r="X26" s="316"/>
      <c r="Y26" s="311"/>
      <c r="Z26" s="311"/>
      <c r="AA26" s="302"/>
    </row>
    <row r="27" spans="1:30" s="367" customFormat="1" x14ac:dyDescent="0.25">
      <c r="A27" s="362"/>
      <c r="B27" s="360" t="s">
        <v>666</v>
      </c>
      <c r="D27" s="361"/>
      <c r="E27" s="361"/>
      <c r="F27" s="361"/>
      <c r="G27" s="361"/>
      <c r="H27" s="361"/>
      <c r="I27" s="361"/>
      <c r="J27" s="361"/>
      <c r="K27" s="364"/>
      <c r="L27" s="365"/>
      <c r="M27" s="366"/>
      <c r="N27" s="361"/>
      <c r="O27" s="421"/>
      <c r="P27" s="361"/>
      <c r="Q27" s="448"/>
      <c r="R27" s="448"/>
      <c r="S27" s="448"/>
      <c r="T27" s="311"/>
      <c r="U27" s="311"/>
      <c r="V27" s="311"/>
      <c r="W27" s="311"/>
      <c r="X27" s="311"/>
      <c r="Y27" s="311"/>
      <c r="Z27" s="311"/>
      <c r="AA27" s="302"/>
    </row>
    <row r="28" spans="1:30" x14ac:dyDescent="0.25">
      <c r="A28" s="313"/>
      <c r="B28" s="319" t="s">
        <v>667</v>
      </c>
      <c r="C28" s="314"/>
      <c r="D28" s="306"/>
      <c r="E28" s="313"/>
      <c r="F28" s="306">
        <f>SUM(F30:F32)</f>
        <v>767398800</v>
      </c>
      <c r="G28" s="313"/>
      <c r="H28" s="313"/>
      <c r="I28" s="306">
        <f>SUM(I30:I32)</f>
        <v>699666000</v>
      </c>
      <c r="J28" s="405">
        <f>I28/F28*100</f>
        <v>91.173715674301292</v>
      </c>
      <c r="K28" s="308">
        <f>SUM(K30:K32)/3</f>
        <v>100</v>
      </c>
      <c r="L28" s="368"/>
      <c r="M28" s="309"/>
      <c r="N28" s="313"/>
      <c r="O28" s="313"/>
      <c r="P28" s="313"/>
      <c r="Q28" s="441"/>
      <c r="R28" s="441"/>
      <c r="S28" s="441"/>
      <c r="T28" s="316"/>
      <c r="U28" s="316"/>
      <c r="V28" s="316"/>
      <c r="W28" s="316"/>
      <c r="X28" s="316"/>
      <c r="Y28" s="317"/>
      <c r="Z28" s="317">
        <f>SUM(Z30:Z32)</f>
        <v>699911400</v>
      </c>
      <c r="AA28" s="302"/>
    </row>
    <row r="29" spans="1:30" x14ac:dyDescent="0.25">
      <c r="A29" s="323"/>
      <c r="B29" s="321" t="s">
        <v>666</v>
      </c>
      <c r="C29" s="322"/>
      <c r="D29" s="322"/>
      <c r="E29" s="323"/>
      <c r="F29" s="323"/>
      <c r="G29" s="323"/>
      <c r="H29" s="323"/>
      <c r="I29" s="322"/>
      <c r="J29" s="325"/>
      <c r="K29" s="326"/>
      <c r="L29" s="369"/>
      <c r="M29" s="327"/>
      <c r="N29" s="323"/>
      <c r="O29" s="323"/>
      <c r="P29" s="323"/>
      <c r="Q29" s="449"/>
      <c r="R29" s="449"/>
      <c r="S29" s="449"/>
      <c r="T29" s="370"/>
      <c r="U29" s="370"/>
      <c r="V29" s="370"/>
      <c r="W29" s="370"/>
      <c r="X29" s="370"/>
      <c r="Y29" s="370"/>
      <c r="Z29" s="329"/>
      <c r="AA29" s="302"/>
    </row>
    <row r="30" spans="1:30" ht="30.75" customHeight="1" x14ac:dyDescent="0.25">
      <c r="A30" s="333">
        <v>1</v>
      </c>
      <c r="B30" s="347" t="s">
        <v>672</v>
      </c>
      <c r="C30" s="331">
        <v>8</v>
      </c>
      <c r="D30" s="345" t="s">
        <v>661</v>
      </c>
      <c r="E30" s="333" t="s">
        <v>23</v>
      </c>
      <c r="F30" s="331">
        <v>396976000</v>
      </c>
      <c r="G30" s="333"/>
      <c r="H30" s="333" t="s">
        <v>658</v>
      </c>
      <c r="I30" s="331">
        <f>Z30</f>
        <v>329846000</v>
      </c>
      <c r="J30" s="334">
        <f>I30/F30*100</f>
        <v>83.089657813066793</v>
      </c>
      <c r="K30" s="335">
        <v>100</v>
      </c>
      <c r="L30" s="344"/>
      <c r="M30" s="330"/>
      <c r="N30" s="336" t="s">
        <v>689</v>
      </c>
      <c r="O30" s="425" t="s">
        <v>726</v>
      </c>
      <c r="P30" s="430" t="s">
        <v>727</v>
      </c>
      <c r="Q30" s="450">
        <v>44062</v>
      </c>
      <c r="R30" s="450">
        <v>44141</v>
      </c>
      <c r="S30" s="444">
        <v>80</v>
      </c>
      <c r="T30" s="337" t="s">
        <v>697</v>
      </c>
      <c r="U30" s="338" t="s">
        <v>664</v>
      </c>
      <c r="V30" s="338"/>
      <c r="W30" s="339">
        <v>44139</v>
      </c>
      <c r="X30" s="463" t="s">
        <v>728</v>
      </c>
      <c r="Y30" s="464">
        <v>329846000</v>
      </c>
      <c r="Z30" s="342">
        <v>329846000</v>
      </c>
      <c r="AA30" s="371"/>
    </row>
    <row r="31" spans="1:30" ht="24.95" customHeight="1" x14ac:dyDescent="0.25">
      <c r="A31" s="333">
        <v>2</v>
      </c>
      <c r="B31" s="330" t="s">
        <v>673</v>
      </c>
      <c r="C31" s="331">
        <v>8</v>
      </c>
      <c r="D31" s="345" t="s">
        <v>657</v>
      </c>
      <c r="E31" s="333" t="s">
        <v>23</v>
      </c>
      <c r="F31" s="331">
        <v>346197400</v>
      </c>
      <c r="G31" s="333"/>
      <c r="H31" s="333" t="s">
        <v>658</v>
      </c>
      <c r="I31" s="331">
        <f>Y31</f>
        <v>345840000</v>
      </c>
      <c r="J31" s="334">
        <f>I31/F31*100</f>
        <v>99.896764100481406</v>
      </c>
      <c r="K31" s="335">
        <v>100</v>
      </c>
      <c r="L31" s="344"/>
      <c r="M31" s="330"/>
      <c r="N31" s="336" t="s">
        <v>674</v>
      </c>
      <c r="O31" s="428">
        <v>44088</v>
      </c>
      <c r="P31" s="426"/>
      <c r="Q31" s="450">
        <v>44053</v>
      </c>
      <c r="R31" s="450">
        <v>44097</v>
      </c>
      <c r="S31" s="451">
        <v>45</v>
      </c>
      <c r="T31" s="337" t="s">
        <v>678</v>
      </c>
      <c r="U31" s="338" t="s">
        <v>659</v>
      </c>
      <c r="V31" s="338"/>
      <c r="W31" s="339">
        <v>44088</v>
      </c>
      <c r="X31" s="463" t="s">
        <v>714</v>
      </c>
      <c r="Y31" s="465">
        <v>345840000</v>
      </c>
      <c r="Z31" s="372">
        <v>345840000</v>
      </c>
      <c r="AA31" s="346"/>
    </row>
    <row r="32" spans="1:30" ht="30" customHeight="1" x14ac:dyDescent="0.25">
      <c r="A32" s="333">
        <v>3</v>
      </c>
      <c r="B32" s="330" t="s">
        <v>671</v>
      </c>
      <c r="C32" s="331">
        <v>1</v>
      </c>
      <c r="D32" s="345" t="s">
        <v>663</v>
      </c>
      <c r="E32" s="333" t="s">
        <v>23</v>
      </c>
      <c r="F32" s="331">
        <v>24225400</v>
      </c>
      <c r="G32" s="333" t="s">
        <v>658</v>
      </c>
      <c r="H32" s="333"/>
      <c r="I32" s="331">
        <f>SUM(Y32:Y38)</f>
        <v>23980000</v>
      </c>
      <c r="J32" s="334">
        <f>I32/F32*100</f>
        <v>98.987013630321897</v>
      </c>
      <c r="K32" s="335">
        <v>100</v>
      </c>
      <c r="L32" s="344"/>
      <c r="M32" s="330"/>
      <c r="N32" s="336" t="s">
        <v>691</v>
      </c>
      <c r="O32" s="427">
        <v>44130</v>
      </c>
      <c r="P32" s="427"/>
      <c r="Q32" s="429">
        <v>44028</v>
      </c>
      <c r="R32" s="429">
        <v>44196</v>
      </c>
      <c r="S32" s="444">
        <v>126</v>
      </c>
      <c r="T32" s="337" t="s">
        <v>676</v>
      </c>
      <c r="U32" s="338" t="s">
        <v>664</v>
      </c>
      <c r="V32" s="338"/>
      <c r="W32" s="339">
        <v>44085</v>
      </c>
      <c r="X32" s="463" t="s">
        <v>712</v>
      </c>
      <c r="Y32" s="466">
        <v>8405000</v>
      </c>
      <c r="Z32" s="374">
        <v>24225400</v>
      </c>
      <c r="AA32" s="346"/>
    </row>
    <row r="33" spans="1:29" ht="23.25" customHeight="1" x14ac:dyDescent="0.25">
      <c r="A33" s="333"/>
      <c r="B33" s="330"/>
      <c r="C33" s="331"/>
      <c r="D33" s="345"/>
      <c r="E33" s="333"/>
      <c r="F33" s="331"/>
      <c r="G33" s="333"/>
      <c r="H33" s="333"/>
      <c r="I33" s="331"/>
      <c r="J33" s="334"/>
      <c r="K33" s="335"/>
      <c r="L33" s="344"/>
      <c r="M33" s="330"/>
      <c r="N33" s="336"/>
      <c r="O33" s="333"/>
      <c r="P33" s="417"/>
      <c r="Q33" s="445"/>
      <c r="R33" s="446"/>
      <c r="S33" s="447"/>
      <c r="T33" s="337"/>
      <c r="U33" s="338"/>
      <c r="V33" s="338"/>
      <c r="W33" s="339">
        <v>44088</v>
      </c>
      <c r="X33" s="463" t="s">
        <v>715</v>
      </c>
      <c r="Y33" s="466">
        <v>1120000</v>
      </c>
      <c r="Z33" s="374"/>
      <c r="AA33" s="346"/>
    </row>
    <row r="34" spans="1:29" ht="30" hidden="1" customHeight="1" x14ac:dyDescent="0.25">
      <c r="A34" s="333"/>
      <c r="B34" s="330"/>
      <c r="C34" s="331"/>
      <c r="D34" s="345"/>
      <c r="E34" s="333"/>
      <c r="F34" s="331"/>
      <c r="G34" s="333"/>
      <c r="H34" s="333"/>
      <c r="I34" s="331"/>
      <c r="J34" s="334"/>
      <c r="K34" s="335"/>
      <c r="L34" s="344"/>
      <c r="M34" s="330"/>
      <c r="N34" s="336"/>
      <c r="O34" s="333"/>
      <c r="P34" s="417"/>
      <c r="Q34" s="445"/>
      <c r="R34" s="446"/>
      <c r="S34" s="447"/>
      <c r="T34" s="337"/>
      <c r="U34" s="338"/>
      <c r="V34" s="338"/>
      <c r="W34" s="339">
        <v>44088</v>
      </c>
      <c r="X34" s="463" t="s">
        <v>716</v>
      </c>
      <c r="Y34" s="466">
        <v>1680000</v>
      </c>
      <c r="Z34" s="374"/>
      <c r="AA34" s="346"/>
    </row>
    <row r="35" spans="1:29" ht="30" hidden="1" customHeight="1" x14ac:dyDescent="0.25">
      <c r="A35" s="333"/>
      <c r="B35" s="330"/>
      <c r="C35" s="331"/>
      <c r="D35" s="345"/>
      <c r="E35" s="333"/>
      <c r="F35" s="331"/>
      <c r="G35" s="333"/>
      <c r="H35" s="333"/>
      <c r="I35" s="331"/>
      <c r="J35" s="412"/>
      <c r="K35" s="335"/>
      <c r="L35" s="344"/>
      <c r="M35" s="330"/>
      <c r="N35" s="336"/>
      <c r="O35" s="333"/>
      <c r="P35" s="417"/>
      <c r="Q35" s="445"/>
      <c r="R35" s="446"/>
      <c r="S35" s="447"/>
      <c r="T35" s="337"/>
      <c r="U35" s="338"/>
      <c r="V35" s="338"/>
      <c r="W35" s="339">
        <v>44110</v>
      </c>
      <c r="X35" s="463" t="s">
        <v>718</v>
      </c>
      <c r="Y35" s="466">
        <v>2800000</v>
      </c>
      <c r="Z35" s="374"/>
      <c r="AA35" s="346"/>
    </row>
    <row r="36" spans="1:29" ht="30" hidden="1" customHeight="1" x14ac:dyDescent="0.25">
      <c r="A36" s="333"/>
      <c r="B36" s="330"/>
      <c r="C36" s="331"/>
      <c r="D36" s="345"/>
      <c r="E36" s="333"/>
      <c r="F36" s="331"/>
      <c r="G36" s="333"/>
      <c r="H36" s="333"/>
      <c r="I36" s="331"/>
      <c r="J36" s="412"/>
      <c r="K36" s="335"/>
      <c r="L36" s="344"/>
      <c r="M36" s="330"/>
      <c r="N36" s="336"/>
      <c r="O36" s="333"/>
      <c r="P36" s="417"/>
      <c r="Q36" s="445"/>
      <c r="R36" s="446"/>
      <c r="S36" s="447"/>
      <c r="T36" s="337"/>
      <c r="U36" s="338"/>
      <c r="V36" s="338"/>
      <c r="W36" s="339">
        <v>44130</v>
      </c>
      <c r="X36" s="463" t="s">
        <v>721</v>
      </c>
      <c r="Y36" s="466">
        <v>3280000</v>
      </c>
      <c r="Z36" s="374"/>
      <c r="AA36" s="346"/>
    </row>
    <row r="37" spans="1:29" ht="30" hidden="1" customHeight="1" x14ac:dyDescent="0.25">
      <c r="A37" s="333"/>
      <c r="B37" s="330"/>
      <c r="C37" s="331"/>
      <c r="D37" s="345"/>
      <c r="E37" s="333"/>
      <c r="F37" s="331"/>
      <c r="G37" s="333"/>
      <c r="H37" s="333"/>
      <c r="I37" s="331"/>
      <c r="J37" s="412"/>
      <c r="K37" s="335"/>
      <c r="L37" s="344"/>
      <c r="M37" s="330"/>
      <c r="N37" s="336"/>
      <c r="O37" s="333"/>
      <c r="P37" s="417"/>
      <c r="Q37" s="445"/>
      <c r="R37" s="446"/>
      <c r="S37" s="447"/>
      <c r="T37" s="337"/>
      <c r="U37" s="338"/>
      <c r="V37" s="338"/>
      <c r="W37" s="339">
        <v>44130</v>
      </c>
      <c r="X37" s="463" t="s">
        <v>722</v>
      </c>
      <c r="Y37" s="466">
        <v>3895000</v>
      </c>
      <c r="Z37" s="374"/>
      <c r="AA37" s="346"/>
    </row>
    <row r="38" spans="1:29" ht="30" hidden="1" customHeight="1" x14ac:dyDescent="0.25">
      <c r="A38" s="333"/>
      <c r="B38" s="330"/>
      <c r="C38" s="331"/>
      <c r="D38" s="345"/>
      <c r="E38" s="333"/>
      <c r="F38" s="331"/>
      <c r="G38" s="333"/>
      <c r="H38" s="333"/>
      <c r="I38" s="331"/>
      <c r="J38" s="412"/>
      <c r="K38" s="335"/>
      <c r="L38" s="344"/>
      <c r="M38" s="330"/>
      <c r="N38" s="336"/>
      <c r="O38" s="333"/>
      <c r="P38" s="417"/>
      <c r="Q38" s="445"/>
      <c r="R38" s="446"/>
      <c r="S38" s="447"/>
      <c r="T38" s="337"/>
      <c r="U38" s="338"/>
      <c r="V38" s="338"/>
      <c r="W38" s="339">
        <v>44130</v>
      </c>
      <c r="X38" s="463" t="s">
        <v>723</v>
      </c>
      <c r="Y38" s="466">
        <v>2800000</v>
      </c>
      <c r="Z38" s="374"/>
      <c r="AA38" s="346"/>
    </row>
    <row r="39" spans="1:29" ht="12" customHeight="1" x14ac:dyDescent="0.25">
      <c r="A39" s="333"/>
      <c r="B39" s="330"/>
      <c r="C39" s="331"/>
      <c r="D39" s="331"/>
      <c r="E39" s="333"/>
      <c r="F39" s="333"/>
      <c r="G39" s="333"/>
      <c r="H39" s="333"/>
      <c r="I39" s="331"/>
      <c r="J39" s="412"/>
      <c r="K39" s="335"/>
      <c r="L39" s="344"/>
      <c r="M39" s="330"/>
      <c r="N39" s="333"/>
      <c r="O39" s="333"/>
      <c r="P39" s="417"/>
      <c r="Q39" s="445"/>
      <c r="R39" s="446"/>
      <c r="S39" s="446"/>
      <c r="T39" s="337"/>
      <c r="U39" s="338" t="s">
        <v>664</v>
      </c>
      <c r="V39" s="338"/>
      <c r="W39" s="354"/>
      <c r="X39" s="355"/>
      <c r="Y39" s="373"/>
      <c r="Z39" s="342"/>
      <c r="AA39" s="346"/>
    </row>
    <row r="40" spans="1:29" x14ac:dyDescent="0.25">
      <c r="A40" s="286"/>
      <c r="B40" s="287" t="s">
        <v>31</v>
      </c>
      <c r="C40" s="376"/>
      <c r="D40" s="376"/>
      <c r="E40" s="376"/>
      <c r="F40" s="376">
        <f>SUM(F15:F21,F30:F32)</f>
        <v>1275972000</v>
      </c>
      <c r="G40" s="376"/>
      <c r="H40" s="376"/>
      <c r="I40" s="410">
        <f>SUM(I15:I21,I30:I32)</f>
        <v>1204679961</v>
      </c>
      <c r="J40" s="415">
        <f>I40/F40*100</f>
        <v>94.412727003413863</v>
      </c>
      <c r="K40" s="411">
        <f>AVERAGE(K13,K28)</f>
        <v>100</v>
      </c>
      <c r="L40" s="290"/>
      <c r="M40" s="290"/>
      <c r="N40" s="376"/>
      <c r="O40" s="424"/>
      <c r="P40" s="423"/>
      <c r="Q40" s="452"/>
      <c r="R40" s="452"/>
      <c r="S40" s="452"/>
      <c r="T40" s="377"/>
      <c r="U40" s="377"/>
      <c r="V40" s="377"/>
      <c r="W40" s="377"/>
      <c r="X40" s="377"/>
      <c r="Y40" s="377"/>
      <c r="Z40" s="378">
        <f>Z28+Z13</f>
        <v>1205078561</v>
      </c>
      <c r="AA40" s="302"/>
      <c r="AB40" s="350"/>
    </row>
    <row r="41" spans="1:29" x14ac:dyDescent="0.25">
      <c r="A41" s="379"/>
      <c r="B41" s="380"/>
      <c r="C41" s="381"/>
      <c r="D41" s="381"/>
      <c r="E41" s="379"/>
      <c r="F41" s="379"/>
      <c r="G41" s="382"/>
      <c r="H41" s="382"/>
      <c r="I41" s="383"/>
      <c r="J41" s="413"/>
      <c r="K41" s="384"/>
      <c r="L41" s="380"/>
      <c r="M41" s="380"/>
      <c r="N41" s="382"/>
      <c r="O41" s="402"/>
      <c r="P41" s="382"/>
      <c r="Q41" s="453"/>
      <c r="R41" s="453"/>
      <c r="S41" s="453"/>
      <c r="T41" s="385"/>
      <c r="U41" s="385"/>
      <c r="V41" s="385"/>
      <c r="W41" s="385"/>
      <c r="X41" s="385"/>
      <c r="Y41" s="385"/>
      <c r="Z41" s="386"/>
      <c r="AA41" s="387"/>
      <c r="AC41" s="250">
        <f>(I26+I11)/2</f>
        <v>0</v>
      </c>
    </row>
    <row r="43" spans="1:29" x14ac:dyDescent="0.25">
      <c r="C43" s="389"/>
      <c r="D43" s="390"/>
      <c r="E43" s="390"/>
      <c r="F43" s="390"/>
      <c r="I43" s="254"/>
      <c r="J43" s="254"/>
      <c r="L43" s="254"/>
      <c r="Q43" s="375" t="s">
        <v>737</v>
      </c>
      <c r="S43" s="454"/>
      <c r="T43" s="388"/>
      <c r="U43" s="388"/>
      <c r="V43" s="388"/>
      <c r="W43" s="388"/>
      <c r="X43" s="388"/>
      <c r="Y43" s="388"/>
    </row>
    <row r="44" spans="1:29" x14ac:dyDescent="0.25">
      <c r="C44" s="389"/>
      <c r="D44" s="390"/>
      <c r="E44" s="390"/>
      <c r="F44" s="390"/>
      <c r="I44" s="391"/>
      <c r="J44" s="391"/>
      <c r="L44" s="391"/>
      <c r="Q44" s="394" t="s">
        <v>703</v>
      </c>
      <c r="S44" s="455"/>
    </row>
    <row r="45" spans="1:29" ht="16.5" customHeight="1" x14ac:dyDescent="0.25">
      <c r="J45" s="391"/>
      <c r="L45" s="391"/>
      <c r="Q45" s="394" t="s">
        <v>704</v>
      </c>
      <c r="S45" s="455"/>
    </row>
    <row r="46" spans="1:29" ht="20.25" customHeight="1" x14ac:dyDescent="0.25">
      <c r="J46" s="391"/>
      <c r="L46" s="391"/>
      <c r="Q46" s="394"/>
      <c r="S46" s="455"/>
    </row>
    <row r="47" spans="1:29" ht="16.5" customHeight="1" x14ac:dyDescent="0.25">
      <c r="Q47" s="394"/>
    </row>
    <row r="48" spans="1:29" ht="18" customHeight="1" x14ac:dyDescent="0.25">
      <c r="I48" s="392"/>
      <c r="J48" s="392"/>
      <c r="L48" s="393"/>
      <c r="Q48" s="393" t="s">
        <v>705</v>
      </c>
      <c r="S48" s="456"/>
    </row>
    <row r="49" spans="9:27" x14ac:dyDescent="0.25">
      <c r="I49" s="391"/>
      <c r="J49" s="391"/>
      <c r="L49" s="394"/>
      <c r="Q49" s="394" t="s">
        <v>706</v>
      </c>
      <c r="S49" s="455"/>
    </row>
    <row r="50" spans="9:27" x14ac:dyDescent="0.25">
      <c r="Q50" s="394" t="s">
        <v>707</v>
      </c>
    </row>
    <row r="51" spans="9:27" x14ac:dyDescent="0.25">
      <c r="T51" s="395" t="e">
        <f>#REF!/#REF!*#REF!</f>
        <v>#REF!</v>
      </c>
      <c r="W51" s="396" t="e">
        <f>T51/#REF!</f>
        <v>#REF!</v>
      </c>
    </row>
    <row r="52" spans="9:27" x14ac:dyDescent="0.25">
      <c r="Q52" s="457"/>
      <c r="T52" s="395" t="e">
        <f>#REF!/#REF!*#REF!</f>
        <v>#REF!</v>
      </c>
      <c r="W52" s="396" t="e">
        <f>T52/#REF!</f>
        <v>#REF!</v>
      </c>
    </row>
    <row r="53" spans="9:27" x14ac:dyDescent="0.25">
      <c r="I53" s="391"/>
      <c r="Q53" s="458"/>
      <c r="T53" s="395" t="e">
        <f>#REF!/#REF!*#REF!</f>
        <v>#REF!</v>
      </c>
      <c r="W53" s="396" t="e">
        <f>T53/#REF!</f>
        <v>#REF!</v>
      </c>
    </row>
    <row r="54" spans="9:27" s="359" customFormat="1" x14ac:dyDescent="0.25">
      <c r="I54" s="391"/>
      <c r="Q54" s="458"/>
      <c r="T54" s="395" t="e">
        <f>#REF!/#REF!*#REF!</f>
        <v>#REF!</v>
      </c>
      <c r="U54" s="291"/>
      <c r="V54" s="291"/>
      <c r="W54" s="396" t="e">
        <f>T54/#REF!</f>
        <v>#REF!</v>
      </c>
      <c r="X54" s="291"/>
      <c r="Y54" s="291"/>
      <c r="Z54" s="291"/>
      <c r="AA54" s="291"/>
    </row>
    <row r="55" spans="9:27" s="359" customFormat="1" x14ac:dyDescent="0.25">
      <c r="Q55" s="458"/>
      <c r="T55" s="395" t="e">
        <f>#REF!/#REF!*#REF!</f>
        <v>#REF!</v>
      </c>
      <c r="U55" s="291"/>
      <c r="V55" s="291"/>
      <c r="W55" s="396" t="e">
        <f>T55/#REF!</f>
        <v>#REF!</v>
      </c>
      <c r="X55" s="291"/>
      <c r="Y55" s="291"/>
      <c r="Z55" s="291"/>
      <c r="AA55" s="291"/>
    </row>
    <row r="56" spans="9:27" s="359" customFormat="1" x14ac:dyDescent="0.25">
      <c r="Q56" s="458"/>
      <c r="T56" s="395" t="e">
        <f>#REF!/#REF!*#REF!</f>
        <v>#REF!</v>
      </c>
      <c r="U56" s="291"/>
      <c r="V56" s="291"/>
      <c r="W56" s="396" t="e">
        <f>T56/#REF!</f>
        <v>#REF!</v>
      </c>
      <c r="X56" s="291"/>
      <c r="Y56" s="291"/>
      <c r="Z56" s="291"/>
      <c r="AA56" s="291"/>
    </row>
    <row r="57" spans="9:27" s="397" customFormat="1" x14ac:dyDescent="0.25">
      <c r="Q57" s="459"/>
      <c r="R57" s="359"/>
      <c r="S57" s="359"/>
      <c r="T57" s="398" t="e">
        <f>#REF!/#REF!*#REF!</f>
        <v>#REF!</v>
      </c>
      <c r="U57" s="399"/>
      <c r="V57" s="399"/>
      <c r="W57" s="400" t="e">
        <f>T57/#REF!</f>
        <v>#REF!</v>
      </c>
      <c r="X57" s="399"/>
      <c r="Y57" s="399"/>
      <c r="Z57" s="399"/>
      <c r="AA57" s="399"/>
    </row>
    <row r="58" spans="9:27" x14ac:dyDescent="0.25">
      <c r="Q58" s="458"/>
      <c r="T58" s="395"/>
      <c r="W58" s="396"/>
    </row>
    <row r="59" spans="9:27" x14ac:dyDescent="0.25">
      <c r="Q59" s="458"/>
      <c r="W59" s="396">
        <f>25/45</f>
        <v>0.55555555555555558</v>
      </c>
    </row>
    <row r="61" spans="9:27" x14ac:dyDescent="0.25">
      <c r="W61" s="291">
        <f>45-19</f>
        <v>26</v>
      </c>
    </row>
    <row r="63" spans="9:27" x14ac:dyDescent="0.25">
      <c r="O63" s="359"/>
      <c r="P63" s="359"/>
    </row>
    <row r="64" spans="9:27" x14ac:dyDescent="0.25">
      <c r="O64" s="359"/>
      <c r="P64" s="359"/>
    </row>
    <row r="65" spans="15:19" x14ac:dyDescent="0.25">
      <c r="O65" s="359"/>
      <c r="P65" s="359"/>
    </row>
    <row r="66" spans="15:19" x14ac:dyDescent="0.25">
      <c r="O66" s="397"/>
      <c r="P66" s="397"/>
      <c r="Q66" s="460"/>
      <c r="R66" s="460"/>
      <c r="S66" s="460"/>
    </row>
  </sheetData>
  <mergeCells count="8">
    <mergeCell ref="A2:S2"/>
    <mergeCell ref="A3:S3"/>
    <mergeCell ref="A4:S4"/>
    <mergeCell ref="A6:A9"/>
    <mergeCell ref="B6:B9"/>
    <mergeCell ref="G6:H6"/>
    <mergeCell ref="C6:F6"/>
    <mergeCell ref="I7:J7"/>
  </mergeCells>
  <pageMargins left="0.39370078740157499" right="0.196850393700787" top="0.196850393700787" bottom="0.196850393700787" header="0.31496062992126" footer="0.31496062992126"/>
  <pageSetup paperSize="10000" scale="7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6</vt:i4>
      </vt:variant>
    </vt:vector>
  </HeadingPairs>
  <TitlesOfParts>
    <vt:vector size="14" baseType="lpstr">
      <vt:lpstr>Page I - II</vt:lpstr>
      <vt:lpstr>OMSPAN</vt:lpstr>
      <vt:lpstr>Rencana OMSPAN</vt:lpstr>
      <vt:lpstr>Rencana</vt:lpstr>
      <vt:lpstr>Realisasi</vt:lpstr>
      <vt:lpstr>Realisasi 2018</vt:lpstr>
      <vt:lpstr>Simulasi 2019</vt:lpstr>
      <vt:lpstr>2020 (2)</vt:lpstr>
      <vt:lpstr>'2020 (2)'!Print_Area</vt:lpstr>
      <vt:lpstr>'2020 (2)'!Print_Titles</vt:lpstr>
      <vt:lpstr>OMSPAN!Print_Titles</vt:lpstr>
      <vt:lpstr>Realisasi!Print_Titles</vt:lpstr>
      <vt:lpstr>'Realisasi 2018'!Print_Titles</vt:lpstr>
      <vt:lpstr>'Rencana OMSPAN'!Print_Titles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Putu Yoga Perdana, ST.</dc:creator>
  <cp:lastModifiedBy>Personal</cp:lastModifiedBy>
  <cp:lastPrinted>2020-12-03T02:41:04Z</cp:lastPrinted>
  <dcterms:created xsi:type="dcterms:W3CDTF">2017-07-02T23:55:51Z</dcterms:created>
  <dcterms:modified xsi:type="dcterms:W3CDTF">2020-12-03T02:41:18Z</dcterms:modified>
</cp:coreProperties>
</file>